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ebralparese.sharepoint.com/sites/fil_administrasjon/organisasjon/2025/Fylkeslagene/Fylkeslag/Telemark/"/>
    </mc:Choice>
  </mc:AlternateContent>
  <xr:revisionPtr revIDLastSave="0" documentId="8_{4195D93C-F51F-4DE8-AF68-1DD06C0326F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Aktivitetsregnskap" sheetId="3" r:id="rId1"/>
    <sheet name="Noter" sheetId="5" r:id="rId2"/>
    <sheet name="Saldobalanse" sheetId="2" r:id="rId3"/>
    <sheet name="Resultat" sheetId="9" state="hidden" r:id="rId4"/>
    <sheet name="Balanse" sheetId="10" state="hidden" r:id="rId5"/>
    <sheet name="Hovedbok" sheetId="1" r:id="rId6"/>
    <sheet name="Kontaktinformasjon" sheetId="8" r:id="rId7"/>
  </sheets>
  <definedNames>
    <definedName name="_xlnm._FilterDatabase" localSheetId="5" hidden="1">Hovedbok!$A$4:$BG$152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 l="1"/>
  <c r="E72" i="3"/>
  <c r="G44" i="5"/>
  <c r="H44" i="5"/>
  <c r="BF148" i="1"/>
  <c r="BF149" i="1"/>
  <c r="BF150" i="1"/>
  <c r="H76" i="5"/>
  <c r="G76" i="5"/>
  <c r="G152" i="1"/>
  <c r="BF147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23" i="1"/>
  <c r="BF124" i="1"/>
  <c r="BF125" i="1"/>
  <c r="BF126" i="1"/>
  <c r="BF127" i="1"/>
  <c r="BF128" i="1"/>
  <c r="BF129" i="1"/>
  <c r="BF130" i="1"/>
  <c r="BF122" i="1"/>
  <c r="BF121" i="1"/>
  <c r="BF120" i="1"/>
  <c r="E39" i="2" l="1"/>
  <c r="D43" i="2"/>
  <c r="F90" i="5"/>
  <c r="BF118" i="1"/>
  <c r="BF119" i="1"/>
  <c r="BF117" i="1"/>
  <c r="BF116" i="1"/>
  <c r="BF115" i="1"/>
  <c r="BF114" i="1"/>
  <c r="BF113" i="1"/>
  <c r="H90" i="5" l="1"/>
  <c r="G90" i="5"/>
  <c r="M106" i="1" l="1"/>
  <c r="BF106" i="1" s="1"/>
  <c r="BF107" i="1"/>
  <c r="BF108" i="1"/>
  <c r="BF109" i="1"/>
  <c r="BF110" i="1"/>
  <c r="BF111" i="1"/>
  <c r="BF112" i="1"/>
  <c r="BF105" i="1"/>
  <c r="BF104" i="1"/>
  <c r="BF103" i="1"/>
  <c r="BF102" i="1"/>
  <c r="BF101" i="1"/>
  <c r="BF100" i="1"/>
  <c r="BF99" i="1"/>
  <c r="G135" i="5" l="1"/>
  <c r="G136" i="5"/>
  <c r="H136" i="5"/>
  <c r="H135" i="5"/>
  <c r="BF5" i="1"/>
  <c r="E116" i="3" l="1"/>
  <c r="D74" i="3" l="1"/>
  <c r="E74" i="3"/>
  <c r="AT152" i="1" l="1"/>
  <c r="C44" i="2" s="1"/>
  <c r="F109" i="5" s="1"/>
  <c r="G159" i="5"/>
  <c r="H159" i="5"/>
  <c r="BB152" i="1"/>
  <c r="C52" i="2" s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AL152" i="1"/>
  <c r="C36" i="2" s="1"/>
  <c r="F159" i="5" l="1"/>
  <c r="C74" i="3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37" i="1" l="1"/>
  <c r="BF38" i="1"/>
  <c r="BF39" i="1"/>
  <c r="BF40" i="1"/>
  <c r="BF41" i="1"/>
  <c r="BF42" i="1"/>
  <c r="BF43" i="1"/>
  <c r="BF44" i="1"/>
  <c r="BF45" i="1"/>
  <c r="BF46" i="1"/>
  <c r="BF36" i="1" l="1"/>
  <c r="BF35" i="1"/>
  <c r="BF34" i="1"/>
  <c r="BF33" i="1"/>
  <c r="BF32" i="1"/>
  <c r="BF31" i="1"/>
  <c r="BF30" i="1"/>
  <c r="BF29" i="1"/>
  <c r="BF28" i="1"/>
  <c r="BF27" i="1"/>
  <c r="BF26" i="1"/>
  <c r="H55" i="5" l="1"/>
  <c r="G55" i="5"/>
  <c r="F55" i="5"/>
  <c r="A143" i="5"/>
  <c r="A50" i="5"/>
  <c r="A97" i="5" s="1"/>
  <c r="D83" i="3" l="1"/>
  <c r="E83" i="3"/>
  <c r="D93" i="3" l="1"/>
  <c r="E93" i="3"/>
  <c r="D92" i="3"/>
  <c r="E92" i="3"/>
  <c r="E136" i="3"/>
  <c r="E135" i="3"/>
  <c r="E129" i="3" l="1"/>
  <c r="E110" i="3"/>
  <c r="G154" i="5"/>
  <c r="D56" i="2"/>
  <c r="G160" i="5"/>
  <c r="H160" i="5"/>
  <c r="H154" i="5"/>
  <c r="G158" i="5"/>
  <c r="H158" i="5"/>
  <c r="G155" i="5"/>
  <c r="H155" i="5"/>
  <c r="G153" i="5"/>
  <c r="H153" i="5"/>
  <c r="G115" i="5"/>
  <c r="H115" i="5"/>
  <c r="G116" i="5"/>
  <c r="H116" i="5"/>
  <c r="G117" i="5"/>
  <c r="H117" i="5"/>
  <c r="G118" i="5"/>
  <c r="H118" i="5"/>
  <c r="G119" i="5"/>
  <c r="H119" i="5"/>
  <c r="G120" i="5"/>
  <c r="H120" i="5"/>
  <c r="G121" i="5"/>
  <c r="H121" i="5"/>
  <c r="G161" i="5" l="1"/>
  <c r="H161" i="5"/>
  <c r="E117" i="3"/>
  <c r="G150" i="5"/>
  <c r="H150" i="5"/>
  <c r="H59" i="5"/>
  <c r="G59" i="5"/>
  <c r="G63" i="5"/>
  <c r="H63" i="5"/>
  <c r="G58" i="5"/>
  <c r="H58" i="5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D68" i="3" l="1"/>
  <c r="D70" i="3" s="1"/>
  <c r="E68" i="3"/>
  <c r="E70" i="3" s="1"/>
  <c r="G102" i="5"/>
  <c r="H102" i="5"/>
  <c r="G103" i="5"/>
  <c r="H103" i="5"/>
  <c r="G104" i="5"/>
  <c r="H104" i="5"/>
  <c r="G105" i="5"/>
  <c r="H105" i="5"/>
  <c r="G106" i="5"/>
  <c r="H106" i="5"/>
  <c r="G107" i="5"/>
  <c r="H107" i="5"/>
  <c r="G108" i="5"/>
  <c r="H108" i="5"/>
  <c r="AK152" i="1"/>
  <c r="C35" i="2" s="1"/>
  <c r="G110" i="5" l="1"/>
  <c r="D87" i="3" s="1"/>
  <c r="H110" i="5"/>
  <c r="E87" i="3" s="1"/>
  <c r="G64" i="5"/>
  <c r="H64" i="5"/>
  <c r="G57" i="5"/>
  <c r="H57" i="5"/>
  <c r="D52" i="3"/>
  <c r="E52" i="3"/>
  <c r="G70" i="5"/>
  <c r="H70" i="5"/>
  <c r="G71" i="5"/>
  <c r="H71" i="5"/>
  <c r="G72" i="5"/>
  <c r="H72" i="5"/>
  <c r="G73" i="5"/>
  <c r="H73" i="5"/>
  <c r="G74" i="5"/>
  <c r="H74" i="5"/>
  <c r="G75" i="5"/>
  <c r="H75" i="5"/>
  <c r="D60" i="3"/>
  <c r="E60" i="3"/>
  <c r="H77" i="5" l="1"/>
  <c r="G77" i="5"/>
  <c r="E55" i="2"/>
  <c r="E152" i="1" l="1"/>
  <c r="C3" i="2" s="1"/>
  <c r="F152" i="1"/>
  <c r="C5" i="2"/>
  <c r="I152" i="1"/>
  <c r="C7" i="2" s="1"/>
  <c r="K152" i="1"/>
  <c r="C9" i="2" s="1"/>
  <c r="D135" i="3" s="1"/>
  <c r="L152" i="1"/>
  <c r="C10" i="2" s="1"/>
  <c r="F135" i="5" s="1"/>
  <c r="M152" i="1"/>
  <c r="C11" i="2" s="1"/>
  <c r="F136" i="5" s="1"/>
  <c r="D136" i="3" l="1"/>
  <c r="J49" i="2"/>
  <c r="I49" i="2"/>
  <c r="K31" i="10" l="1"/>
  <c r="J31" i="10"/>
  <c r="H31" i="10"/>
  <c r="F31" i="10"/>
  <c r="D31" i="10"/>
  <c r="K26" i="10"/>
  <c r="K33" i="10" s="1"/>
  <c r="J26" i="10"/>
  <c r="D26" i="10"/>
  <c r="D33" i="10" s="1"/>
  <c r="H24" i="10"/>
  <c r="H26" i="10" s="1"/>
  <c r="H33" i="10" s="1"/>
  <c r="Q20" i="10"/>
  <c r="K20" i="10"/>
  <c r="F20" i="10"/>
  <c r="D20" i="10"/>
  <c r="K18" i="10"/>
  <c r="J18" i="10"/>
  <c r="J20" i="10" s="1"/>
  <c r="H18" i="10"/>
  <c r="H20" i="10" s="1"/>
  <c r="F18" i="10"/>
  <c r="D18" i="10"/>
  <c r="I75" i="9"/>
  <c r="H75" i="9"/>
  <c r="G75" i="9"/>
  <c r="F75" i="9"/>
  <c r="E75" i="9"/>
  <c r="D75" i="9"/>
  <c r="I72" i="9"/>
  <c r="H72" i="9"/>
  <c r="H77" i="9" s="1"/>
  <c r="G72" i="9"/>
  <c r="G77" i="9" s="1"/>
  <c r="F72" i="9"/>
  <c r="E72" i="9"/>
  <c r="D72" i="9"/>
  <c r="I29" i="9"/>
  <c r="H29" i="9"/>
  <c r="G29" i="9"/>
  <c r="F29" i="9"/>
  <c r="E29" i="9"/>
  <c r="D29" i="9"/>
  <c r="F24" i="10" l="1"/>
  <c r="F26" i="10" s="1"/>
  <c r="F33" i="10" s="1"/>
  <c r="F77" i="9"/>
  <c r="J33" i="10"/>
  <c r="I77" i="9"/>
  <c r="E77" i="9"/>
  <c r="D77" i="9"/>
  <c r="AD152" i="1"/>
  <c r="C28" i="2" s="1"/>
  <c r="F119" i="5" l="1"/>
  <c r="F44" i="5"/>
  <c r="BF25" i="1"/>
  <c r="H69" i="5" l="1"/>
  <c r="G69" i="5"/>
  <c r="F69" i="5"/>
  <c r="H101" i="5" l="1"/>
  <c r="H114" i="5" s="1"/>
  <c r="H134" i="5" s="1"/>
  <c r="H81" i="5"/>
  <c r="G101" i="5"/>
  <c r="G114" i="5" s="1"/>
  <c r="G134" i="5" s="1"/>
  <c r="G81" i="5"/>
  <c r="F101" i="5"/>
  <c r="F114" i="5" s="1"/>
  <c r="F134" i="5" s="1"/>
  <c r="F81" i="5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G137" i="5" l="1"/>
  <c r="Z152" i="1" l="1"/>
  <c r="C24" i="2" s="1"/>
  <c r="F64" i="5" s="1"/>
  <c r="Y152" i="1" l="1"/>
  <c r="C23" i="2" s="1"/>
  <c r="F59" i="5" s="1"/>
  <c r="H147" i="5" l="1"/>
  <c r="G147" i="5"/>
  <c r="F147" i="5"/>
  <c r="A49" i="5"/>
  <c r="A142" i="5" l="1"/>
  <c r="A96" i="5"/>
  <c r="E137" i="3"/>
  <c r="H137" i="5"/>
  <c r="AC152" i="1"/>
  <c r="C27" i="2" l="1"/>
  <c r="F153" i="5" s="1"/>
  <c r="AN152" i="1" l="1"/>
  <c r="C38" i="2" s="1"/>
  <c r="F103" i="5" s="1"/>
  <c r="AO152" i="1"/>
  <c r="C39" i="2" s="1"/>
  <c r="F104" i="5" s="1"/>
  <c r="AP152" i="1"/>
  <c r="C40" i="2" s="1"/>
  <c r="F105" i="5" s="1"/>
  <c r="AM152" i="1"/>
  <c r="C37" i="2" s="1"/>
  <c r="F102" i="5" s="1"/>
  <c r="R152" i="1"/>
  <c r="C16" i="2" s="1"/>
  <c r="F73" i="5" s="1"/>
  <c r="U152" i="1" l="1"/>
  <c r="C19" i="2" s="1"/>
  <c r="F76" i="5" s="1"/>
  <c r="G156" i="5" l="1"/>
  <c r="X152" i="1"/>
  <c r="C22" i="2" s="1"/>
  <c r="F58" i="5" s="1"/>
  <c r="AA152" i="1"/>
  <c r="C25" i="2" s="1"/>
  <c r="C60" i="3" s="1"/>
  <c r="AG152" i="1"/>
  <c r="C31" i="2" s="1"/>
  <c r="AF152" i="1"/>
  <c r="C30" i="2" s="1"/>
  <c r="H122" i="5" l="1"/>
  <c r="E89" i="3" s="1"/>
  <c r="G122" i="5"/>
  <c r="D89" i="3" s="1"/>
  <c r="D65" i="3"/>
  <c r="E65" i="3"/>
  <c r="E139" i="3"/>
  <c r="BC152" i="1" l="1"/>
  <c r="C53" i="2" s="1"/>
  <c r="C92" i="3" s="1"/>
  <c r="H156" i="5" l="1"/>
  <c r="W152" i="1" l="1"/>
  <c r="C21" i="2" s="1"/>
  <c r="F63" i="5" s="1"/>
  <c r="F65" i="5" s="1"/>
  <c r="G128" i="5" l="1"/>
  <c r="E111" i="3"/>
  <c r="H128" i="5" l="1"/>
  <c r="C4" i="2"/>
  <c r="D94" i="3" l="1"/>
  <c r="E94" i="3"/>
  <c r="AY152" i="1"/>
  <c r="C49" i="2" s="1"/>
  <c r="D96" i="3" l="1"/>
  <c r="AS152" i="1" l="1"/>
  <c r="C43" i="2" s="1"/>
  <c r="F108" i="5" s="1"/>
  <c r="E96" i="3" l="1"/>
  <c r="E130" i="3"/>
  <c r="E112" i="3"/>
  <c r="E120" i="3" s="1"/>
  <c r="E122" i="3" s="1"/>
  <c r="E141" i="3" l="1"/>
  <c r="P152" i="1" l="1"/>
  <c r="C14" i="2" s="1"/>
  <c r="F71" i="5" s="1"/>
  <c r="AX152" i="1"/>
  <c r="C48" i="2" s="1"/>
  <c r="F120" i="5" s="1"/>
  <c r="O152" i="1"/>
  <c r="C13" i="2" s="1"/>
  <c r="F70" i="5" s="1"/>
  <c r="AW152" i="1"/>
  <c r="C47" i="2" s="1"/>
  <c r="F118" i="5" s="1"/>
  <c r="Q152" i="1"/>
  <c r="C15" i="2" s="1"/>
  <c r="F72" i="5" s="1"/>
  <c r="S152" i="1"/>
  <c r="C17" i="2" s="1"/>
  <c r="F74" i="5" s="1"/>
  <c r="BD152" i="1"/>
  <c r="C54" i="2" s="1"/>
  <c r="AQ152" i="1"/>
  <c r="C41" i="2" s="1"/>
  <c r="F106" i="5" s="1"/>
  <c r="AU152" i="1"/>
  <c r="C45" i="2" s="1"/>
  <c r="AV152" i="1"/>
  <c r="C46" i="2" s="1"/>
  <c r="F117" i="5" s="1"/>
  <c r="AZ152" i="1"/>
  <c r="C50" i="2" s="1"/>
  <c r="BA152" i="1"/>
  <c r="N152" i="1"/>
  <c r="T152" i="1"/>
  <c r="V152" i="1"/>
  <c r="C20" i="2" s="1"/>
  <c r="F57" i="5" s="1"/>
  <c r="F60" i="5" s="1"/>
  <c r="F148" i="5" s="1"/>
  <c r="AB152" i="1"/>
  <c r="C26" i="2" s="1"/>
  <c r="C72" i="3" s="1"/>
  <c r="AE152" i="1"/>
  <c r="AH152" i="1"/>
  <c r="C32" i="2" s="1"/>
  <c r="AI152" i="1"/>
  <c r="C33" i="2" s="1"/>
  <c r="AJ152" i="1"/>
  <c r="C34" i="2" s="1"/>
  <c r="F116" i="5" s="1"/>
  <c r="D152" i="1"/>
  <c r="C2" i="2" s="1"/>
  <c r="C12" i="2" l="1"/>
  <c r="C155" i="1"/>
  <c r="D110" i="3"/>
  <c r="C93" i="3"/>
  <c r="C94" i="3" s="1"/>
  <c r="F160" i="5"/>
  <c r="C52" i="3"/>
  <c r="F150" i="5"/>
  <c r="F121" i="5"/>
  <c r="F115" i="5"/>
  <c r="C29" i="2"/>
  <c r="C18" i="2"/>
  <c r="F75" i="5" s="1"/>
  <c r="F77" i="5" s="1"/>
  <c r="C51" i="2"/>
  <c r="AR152" i="1"/>
  <c r="C42" i="2" s="1"/>
  <c r="F107" i="5" s="1"/>
  <c r="F110" i="5" s="1"/>
  <c r="C156" i="1" l="1"/>
  <c r="C83" i="3"/>
  <c r="F154" i="5"/>
  <c r="F155" i="5"/>
  <c r="C68" i="3"/>
  <c r="C70" i="3" s="1"/>
  <c r="F158" i="5"/>
  <c r="F161" i="5" s="1"/>
  <c r="F122" i="5"/>
  <c r="C89" i="3" s="1"/>
  <c r="C65" i="3"/>
  <c r="D111" i="3"/>
  <c r="C87" i="3"/>
  <c r="C96" i="3" l="1"/>
  <c r="F156" i="5"/>
  <c r="D137" i="3"/>
  <c r="D139" i="3" s="1"/>
  <c r="F137" i="5"/>
  <c r="D112" i="3"/>
  <c r="E56" i="2" l="1"/>
  <c r="H152" i="1" l="1"/>
  <c r="C6" i="2" s="1"/>
  <c r="D116" i="3" s="1"/>
  <c r="C157" i="1"/>
  <c r="BE151" i="1" s="1"/>
  <c r="J151" i="1" s="1"/>
  <c r="BF151" i="1" s="1"/>
  <c r="C55" i="2" l="1"/>
  <c r="BF152" i="1"/>
  <c r="D117" i="3"/>
  <c r="D120" i="3" s="1"/>
  <c r="D122" i="3" s="1"/>
  <c r="BE152" i="1"/>
  <c r="J152" i="1"/>
  <c r="C8" i="2" s="1"/>
  <c r="C56" i="2" l="1"/>
  <c r="D129" i="3"/>
  <c r="D130" i="3" s="1"/>
  <c r="D141" i="3" s="1"/>
  <c r="C55" i="3"/>
  <c r="C56" i="3" l="1"/>
  <c r="C57" i="3" s="1"/>
  <c r="C76" i="3" s="1"/>
  <c r="C99" i="3" s="1"/>
  <c r="F149" i="5"/>
  <c r="F151" i="5" s="1"/>
  <c r="F157" i="5" s="1"/>
  <c r="F162" i="5" s="1"/>
  <c r="F165" i="5" s="1"/>
  <c r="C158" i="1" l="1"/>
  <c r="G129" i="5"/>
  <c r="G130" i="5" l="1"/>
  <c r="H129" i="5"/>
  <c r="H130" i="5" s="1"/>
  <c r="E99" i="3"/>
  <c r="E76" i="3"/>
  <c r="E57" i="3"/>
  <c r="E55" i="3"/>
  <c r="D99" i="3"/>
  <c r="D76" i="3"/>
  <c r="D57" i="3"/>
  <c r="D55" i="3"/>
  <c r="H165" i="5"/>
  <c r="H162" i="5"/>
  <c r="H157" i="5"/>
  <c r="H151" i="5"/>
  <c r="H60" i="5"/>
  <c r="H148" i="5"/>
  <c r="G60" i="5"/>
  <c r="G148" i="5"/>
  <c r="G151" i="5"/>
  <c r="G157" i="5"/>
  <c r="G162" i="5"/>
  <c r="E56" i="3"/>
  <c r="H65" i="5"/>
  <c r="H149" i="5"/>
  <c r="G149" i="5"/>
  <c r="G65" i="5"/>
  <c r="D56" i="3"/>
</calcChain>
</file>

<file path=xl/sharedStrings.xml><?xml version="1.0" encoding="utf-8"?>
<sst xmlns="http://schemas.openxmlformats.org/spreadsheetml/2006/main" count="851" uniqueCount="475">
  <si>
    <t>Sum inntekter</t>
  </si>
  <si>
    <t>Leverandørgjeld</t>
  </si>
  <si>
    <t>Styrehonorar</t>
  </si>
  <si>
    <t>Kontorhold</t>
  </si>
  <si>
    <t>Reiseutgifter</t>
  </si>
  <si>
    <t>Renteinntekter</t>
  </si>
  <si>
    <t>Overføring annen egenkapital</t>
  </si>
  <si>
    <t>Årsmøte</t>
  </si>
  <si>
    <t>Kundefordringer</t>
  </si>
  <si>
    <t>Dato</t>
  </si>
  <si>
    <t>Andre inntekter</t>
  </si>
  <si>
    <t>AKTIVITETSREGNSKAP</t>
  </si>
  <si>
    <t>Regnskap</t>
  </si>
  <si>
    <t>Anskaffede midler</t>
  </si>
  <si>
    <t>Medlemskontingent</t>
  </si>
  <si>
    <t>Tilskudd</t>
  </si>
  <si>
    <t>Offentlige tilskudd</t>
  </si>
  <si>
    <t>Sum</t>
  </si>
  <si>
    <t>Innsamlede midler og gaver</t>
  </si>
  <si>
    <t>Gaver</t>
  </si>
  <si>
    <t>Opptjente inntekter fra aktiviteter fordelt på</t>
  </si>
  <si>
    <t>aktiviteter som oppfyller CP-foreningens formål</t>
  </si>
  <si>
    <t>Aktiviteter som skaper inntekter</t>
  </si>
  <si>
    <t>Finans og investeringsinntekter</t>
  </si>
  <si>
    <t>Side 1</t>
  </si>
  <si>
    <t>Forbrukte midler</t>
  </si>
  <si>
    <t>Kostnader til formål</t>
  </si>
  <si>
    <t>Kostnader til aktiviteter som oppfyller formålet</t>
  </si>
  <si>
    <t>Administrasjonskostnader</t>
  </si>
  <si>
    <t>Finanskostnader</t>
  </si>
  <si>
    <t>Annen rentekostnad</t>
  </si>
  <si>
    <t>Annen finanskostnad</t>
  </si>
  <si>
    <t>Sum forbrukte midler</t>
  </si>
  <si>
    <t>Årets aktivitetsresultat</t>
  </si>
  <si>
    <t>Side 2</t>
  </si>
  <si>
    <t>Eiendeler</t>
  </si>
  <si>
    <t>Balanse</t>
  </si>
  <si>
    <t>Omløpsmidler</t>
  </si>
  <si>
    <t>Fordringer</t>
  </si>
  <si>
    <t>Sum fordringer</t>
  </si>
  <si>
    <t>Sum omløpsmidler</t>
  </si>
  <si>
    <t>Sum eiendeler</t>
  </si>
  <si>
    <t>Formålskapital og gjeld</t>
  </si>
  <si>
    <t>Annen formålskapital</t>
  </si>
  <si>
    <t>Sum formålskapital</t>
  </si>
  <si>
    <t>Kortsiktig gjeld</t>
  </si>
  <si>
    <t>Annen kortsiktig gjeld</t>
  </si>
  <si>
    <t>Sum kortsiktig gjeld</t>
  </si>
  <si>
    <t>Sum gjeld</t>
  </si>
  <si>
    <t>Note</t>
  </si>
  <si>
    <t>Årets resultat</t>
  </si>
  <si>
    <t>Prinsipper for inntektsføring og kostnadsføring</t>
  </si>
  <si>
    <t>Sum formålskapital og gjeld</t>
  </si>
  <si>
    <t>Diverse utgifter, Gaver</t>
  </si>
  <si>
    <t>Mottatte gaver</t>
  </si>
  <si>
    <t>Saldobalanse</t>
  </si>
  <si>
    <t xml:space="preserve">Utgående saldo </t>
  </si>
  <si>
    <t>Budsjett</t>
  </si>
  <si>
    <t>1920</t>
  </si>
  <si>
    <t>2050</t>
  </si>
  <si>
    <t>2990</t>
  </si>
  <si>
    <t>3010</t>
  </si>
  <si>
    <t>7140</t>
  </si>
  <si>
    <t>7145</t>
  </si>
  <si>
    <t>7350</t>
  </si>
  <si>
    <t>7400</t>
  </si>
  <si>
    <t>7710</t>
  </si>
  <si>
    <t>Pr. 01.01.</t>
  </si>
  <si>
    <t>Pr. 31.12.</t>
  </si>
  <si>
    <t>Inntekter</t>
  </si>
  <si>
    <t>Kostnader</t>
  </si>
  <si>
    <t>Resultat</t>
  </si>
  <si>
    <t>Nr.</t>
  </si>
  <si>
    <t>Tekst</t>
  </si>
  <si>
    <t>7142</t>
  </si>
  <si>
    <t xml:space="preserve">Note nr. 1 Regnskapsprinsipper 
</t>
  </si>
  <si>
    <t>Årsregnskapet er satt opp i samsvar med regnskapsloven og god regnskapsskikk for idelle organisasjoner.</t>
  </si>
  <si>
    <t xml:space="preserve">Offentlige tilskudd/driftstilskudd inntektsføres når foreningen har juridisk rett til tilskuddet og verdien kan </t>
  </si>
  <si>
    <t xml:space="preserve">måles pålitelig. Tilskudd det knytter seg betingelser til, inntektsføres i takt med forbruk av midler på den </t>
  </si>
  <si>
    <t>aktivitet som støtten knytter seg til. Ubenyttet tilskudd regnskapsførers i balansen som en forpliktelse.</t>
  </si>
  <si>
    <t xml:space="preserve">Medlemsinntekter inntektsføres når de mottas. Øvrige gaver/arv måles til virkelig verdi  og inntektsføres på </t>
  </si>
  <si>
    <t xml:space="preserve">mottakstidspunktet. Kostnader hvor det er tilknytning til inntekter kostnadsføres i samme periode som </t>
  </si>
  <si>
    <t>tilhørende inntekt (sammenstillingsprinsippet). Kostnader hvor det ikke er direkte sammenheng med en</t>
  </si>
  <si>
    <t>inntekt, kostnadsføres på det tidspunkt foreningen har pådratt seg en forpliktelse.</t>
  </si>
  <si>
    <t>Hovedregel for vurdering og klassifisering av eiendeler:</t>
  </si>
  <si>
    <t>Eiendeler bestemt til varig eie eller bruk er klassifisert som annleggsmidler. Andre eiendeler er klassifisert</t>
  </si>
  <si>
    <t>som omløpsmidler. Fordringer som skal tilbakebetales innen et år fra etableringstidspunktet er uansett</t>
  </si>
  <si>
    <t>klassifisert som omløpsmidler. Ved klassifisering av kortsiktig og langsiktig gjeld er analoge klassifisert</t>
  </si>
  <si>
    <t>lagt til grunn.</t>
  </si>
  <si>
    <t>Anleggmidler er vurdert til anskaffelseskost, men nedskrevet til virkelig verdi når verdifallet forventes</t>
  </si>
  <si>
    <t>ikke å være forbigående. Anleggsmidler med begrenset økonomisk levetid avskrives etter en fornuftig</t>
  </si>
  <si>
    <t>avskrivningsplan. Omløpsmidler er vurdert til det laveste av anskaffelseskost og virkelig verdi. Langsiktig</t>
  </si>
  <si>
    <t>og kortsiktig gjeld balanseføres til nominelt beløp på etableringstidspunktet, og skrives ikke opp eller ned</t>
  </si>
  <si>
    <t>til virkelig verdi som følge av renteendringer.</t>
  </si>
  <si>
    <t>Fordringer:</t>
  </si>
  <si>
    <t xml:space="preserve">Utestående fordringer er bokført til pålydende redusert for påregnelig tap. Avsetning til tap er gjort på </t>
  </si>
  <si>
    <t>grunnlag av individuell vurdering av fordringene.</t>
  </si>
  <si>
    <t>Note nr. 2 Ansatte, godtgjørelse, lån til ansatte m.v.</t>
  </si>
  <si>
    <t>Tilskudd offentlige</t>
  </si>
  <si>
    <t>Sum tilskudd offentlige</t>
  </si>
  <si>
    <t>Tilskudd andre</t>
  </si>
  <si>
    <t>CP-foreningen</t>
  </si>
  <si>
    <t>Sum tilskudd andre</t>
  </si>
  <si>
    <t>Tilskudd  andre</t>
  </si>
  <si>
    <t>Sum Inntekter</t>
  </si>
  <si>
    <t>Lønnskostnader</t>
  </si>
  <si>
    <t>Andre driftskostnader</t>
  </si>
  <si>
    <t>Sum kostnader</t>
  </si>
  <si>
    <t>Driftsresultat</t>
  </si>
  <si>
    <t>Netto finansposter</t>
  </si>
  <si>
    <t>Årsresultat</t>
  </si>
  <si>
    <t>Disponering av resultat</t>
  </si>
  <si>
    <t>Overført til/fra formålskapital</t>
  </si>
  <si>
    <t>Side 5</t>
  </si>
  <si>
    <t>Formåls kapital</t>
  </si>
  <si>
    <t>Andre tilskudd</t>
  </si>
  <si>
    <t>Egenandeler medlemsarrangement</t>
  </si>
  <si>
    <t>Andre finansinntekter</t>
  </si>
  <si>
    <t>Medlemsarrangement</t>
  </si>
  <si>
    <t>Momskompensasjon</t>
  </si>
  <si>
    <t>Sum egenandeler</t>
  </si>
  <si>
    <t>Kontingenter</t>
  </si>
  <si>
    <t>Styrekostnader</t>
  </si>
  <si>
    <t>Andre administrative kostnader</t>
  </si>
  <si>
    <t>Sum administrasjon</t>
  </si>
  <si>
    <t>Side 3</t>
  </si>
  <si>
    <t>Side 4</t>
  </si>
  <si>
    <t>Andre fordringer</t>
  </si>
  <si>
    <t>Møter, kurs, oppdatering o.l.</t>
  </si>
  <si>
    <t>6860</t>
  </si>
  <si>
    <t>6900</t>
  </si>
  <si>
    <t>Bankinnskudd</t>
  </si>
  <si>
    <t>Sum bankinnskudd</t>
  </si>
  <si>
    <t>Sum Kostnader til aktiviteter som oppfyller formålet</t>
  </si>
  <si>
    <t>7143</t>
  </si>
  <si>
    <t>7144</t>
  </si>
  <si>
    <t>7146</t>
  </si>
  <si>
    <t>5330</t>
  </si>
  <si>
    <t>Fortsatt drift</t>
  </si>
  <si>
    <t>Styret mener det fremlagte årsregnskapet og balansen gir et riktig uttrykk for situasjonen ved årsskiftet.</t>
  </si>
  <si>
    <t>Det er ikke oppstått forhold etter årets utløp som endrer dette bildet. Etter styrets vurdering er</t>
  </si>
  <si>
    <t xml:space="preserve">forutsetningene for fortsatt drift tilstede. Årsregnskapet er satt opp under denne forutsetning. </t>
  </si>
  <si>
    <t>Inngående saldo</t>
  </si>
  <si>
    <t>Cerebral Parese-foreningen</t>
  </si>
  <si>
    <t>Overfør Annen formålskapital</t>
  </si>
  <si>
    <t>Regnskap 2021</t>
  </si>
  <si>
    <t>Regnskap 2022</t>
  </si>
  <si>
    <t>Budsjett 2022</t>
  </si>
  <si>
    <t>Note nr. 3 Tilskudd</t>
  </si>
  <si>
    <t>Note nr. 4 Egenandeler</t>
  </si>
  <si>
    <t>Navn</t>
  </si>
  <si>
    <t>Note nr. 9 Artsinndeling</t>
  </si>
  <si>
    <t>Budsjett 2023</t>
  </si>
  <si>
    <t>2023</t>
  </si>
  <si>
    <t>Noter 2023</t>
  </si>
  <si>
    <t>Regnskap 2023</t>
  </si>
  <si>
    <t>Honorarer økon./jur. bistand</t>
  </si>
  <si>
    <t>CP Telemark</t>
  </si>
  <si>
    <t>2024</t>
  </si>
  <si>
    <t>Annen kortsiktig tilgodehavende</t>
  </si>
  <si>
    <t>Kortsiktig tilgodehavende</t>
  </si>
  <si>
    <t>Kasse</t>
  </si>
  <si>
    <t>Kontanter</t>
  </si>
  <si>
    <t>Bankinnskudd 2610.22.17038</t>
  </si>
  <si>
    <t>Bankinnskudd 2610.50.34708</t>
  </si>
  <si>
    <t>Bank: Haugesgate bofelles. 2610.40.16676</t>
  </si>
  <si>
    <t>Forskuddstrekk</t>
  </si>
  <si>
    <t>3005</t>
  </si>
  <si>
    <t>3006</t>
  </si>
  <si>
    <t>3007</t>
  </si>
  <si>
    <t>3013</t>
  </si>
  <si>
    <t>3016</t>
  </si>
  <si>
    <t>3017</t>
  </si>
  <si>
    <t>3036</t>
  </si>
  <si>
    <t>3037</t>
  </si>
  <si>
    <t>3141</t>
  </si>
  <si>
    <t>3142</t>
  </si>
  <si>
    <t>3200</t>
  </si>
  <si>
    <t>3250</t>
  </si>
  <si>
    <t>3401</t>
  </si>
  <si>
    <t>3402</t>
  </si>
  <si>
    <t>3410</t>
  </si>
  <si>
    <t>3440</t>
  </si>
  <si>
    <t>3901</t>
  </si>
  <si>
    <t>3700</t>
  </si>
  <si>
    <t>3920</t>
  </si>
  <si>
    <t>Årsfest</t>
  </si>
  <si>
    <t>Temasamlinger</t>
  </si>
  <si>
    <t>Weekend - likemannskurs</t>
  </si>
  <si>
    <t>Inntekter onsdagstreffene</t>
  </si>
  <si>
    <t>Turer</t>
  </si>
  <si>
    <t>Familietur</t>
  </si>
  <si>
    <t>Gaver/arv</t>
  </si>
  <si>
    <t>Tilskudd fra CP-foreningen</t>
  </si>
  <si>
    <t>CP-light</t>
  </si>
  <si>
    <t>Mammakvelder/foresatte samlinger</t>
  </si>
  <si>
    <t>Andre gaver</t>
  </si>
  <si>
    <t>Inntekter fra egne arrangement</t>
  </si>
  <si>
    <t>Grasrotandel-Norsk Tipping</t>
  </si>
  <si>
    <t>Tilskudd fra CP-foreningen revisjon</t>
  </si>
  <si>
    <t>Annet tilskudd</t>
  </si>
  <si>
    <t>Offentlige tilskudd for tjenester</t>
  </si>
  <si>
    <t>Provisjonsinntekter</t>
  </si>
  <si>
    <t>Telemark</t>
  </si>
  <si>
    <t>Regnskap og budsjett</t>
  </si>
  <si>
    <t>Konto</t>
  </si>
  <si>
    <t>Beskrivelse</t>
  </si>
  <si>
    <t>Budsjett 2024</t>
  </si>
  <si>
    <t>Medlemskontingenter</t>
  </si>
  <si>
    <t>Sum driftsinntekter</t>
  </si>
  <si>
    <t>5100</t>
  </si>
  <si>
    <t>Lønn til ansatte</t>
  </si>
  <si>
    <t>5110</t>
  </si>
  <si>
    <t>Honorarer skatt/avg.fri</t>
  </si>
  <si>
    <t>Godtgjørelse til styre</t>
  </si>
  <si>
    <t>5900</t>
  </si>
  <si>
    <t>Gaver til ansatte</t>
  </si>
  <si>
    <t>6000</t>
  </si>
  <si>
    <t>Kontingent FFO/FS</t>
  </si>
  <si>
    <t>6005</t>
  </si>
  <si>
    <t>6006</t>
  </si>
  <si>
    <t>6007</t>
  </si>
  <si>
    <t>Weekendkurs/likemannskurs</t>
  </si>
  <si>
    <t>6008</t>
  </si>
  <si>
    <t>Mammakvelder - CP-Mums</t>
  </si>
  <si>
    <t>6012</t>
  </si>
  <si>
    <t>6013</t>
  </si>
  <si>
    <t>Onsdagstreffene</t>
  </si>
  <si>
    <t>6014</t>
  </si>
  <si>
    <t>6016</t>
  </si>
  <si>
    <t>Møter/arrangement generelt</t>
  </si>
  <si>
    <t>6017</t>
  </si>
  <si>
    <t>Familieturer</t>
  </si>
  <si>
    <t>6019</t>
  </si>
  <si>
    <t>Tilskudd prosjekter med mer</t>
  </si>
  <si>
    <t>6020</t>
  </si>
  <si>
    <t>Blomster og gaver</t>
  </si>
  <si>
    <t>6024</t>
  </si>
  <si>
    <t>Utgifter styret ex "honorar"</t>
  </si>
  <si>
    <t>6300</t>
  </si>
  <si>
    <t>Leie av lokaler</t>
  </si>
  <si>
    <t>6420</t>
  </si>
  <si>
    <t>Leie datasystemer</t>
  </si>
  <si>
    <t>6700</t>
  </si>
  <si>
    <t>Revisjons og regnskapshonorarer</t>
  </si>
  <si>
    <t>6540</t>
  </si>
  <si>
    <t>Inventar</t>
  </si>
  <si>
    <t>6560</t>
  </si>
  <si>
    <t>Rekvisita</t>
  </si>
  <si>
    <t>6701</t>
  </si>
  <si>
    <t>Medlemskontingenter FFO/Funkis</t>
  </si>
  <si>
    <t>6705</t>
  </si>
  <si>
    <t>Adm/kontorutgifter</t>
  </si>
  <si>
    <t>6804</t>
  </si>
  <si>
    <t>Leie av datasystemer</t>
  </si>
  <si>
    <t>Møter, kurs, oppdateringer etc.</t>
  </si>
  <si>
    <t>6940</t>
  </si>
  <si>
    <t>Porto</t>
  </si>
  <si>
    <t>7130</t>
  </si>
  <si>
    <t>Bilgodtgjørelse oppg.pl.</t>
  </si>
  <si>
    <t>Reisekostnader, ikke oppg.pl.</t>
  </si>
  <si>
    <t>7141</t>
  </si>
  <si>
    <t>CP-light turer</t>
  </si>
  <si>
    <t>CP-foreningens sommerleirer</t>
  </si>
  <si>
    <t>Turer - ut i det fri</t>
  </si>
  <si>
    <t>7300</t>
  </si>
  <si>
    <t>Salgskostnader</t>
  </si>
  <si>
    <t>7395</t>
  </si>
  <si>
    <t>Øreavrunding/tellefeil</t>
  </si>
  <si>
    <t>7396</t>
  </si>
  <si>
    <t>Manko kasseopptelling</t>
  </si>
  <si>
    <t>7600</t>
  </si>
  <si>
    <t>7701</t>
  </si>
  <si>
    <t xml:space="preserve">Styremøter </t>
  </si>
  <si>
    <t>7702</t>
  </si>
  <si>
    <t>Årsmote</t>
  </si>
  <si>
    <t>7703</t>
  </si>
  <si>
    <t>Andre møter</t>
  </si>
  <si>
    <t>7705</t>
  </si>
  <si>
    <t>Skattetrekk 2016 - ikke bokført i 2016</t>
  </si>
  <si>
    <t>7706</t>
  </si>
  <si>
    <t>Landsmøteutgifter</t>
  </si>
  <si>
    <t>Sum driftsutgifter</t>
  </si>
  <si>
    <t>8040</t>
  </si>
  <si>
    <t>Renteinntekter, skattefrie</t>
  </si>
  <si>
    <t>8170</t>
  </si>
  <si>
    <t>Gebyrer</t>
  </si>
  <si>
    <t>Sum finansposter</t>
  </si>
  <si>
    <t>Skien 4.2.2024</t>
  </si>
  <si>
    <t>Frank Robert Hübenbecker</t>
  </si>
  <si>
    <t>kasserer</t>
  </si>
  <si>
    <t>Balanse 3112 - 2019, 202, 2021, 2022, 2023</t>
  </si>
  <si>
    <t>Balanse 2023</t>
  </si>
  <si>
    <t>Balanse 2022</t>
  </si>
  <si>
    <t>Noter 2022</t>
  </si>
  <si>
    <t>Balanse 2021</t>
  </si>
  <si>
    <t>Noter 2021</t>
  </si>
  <si>
    <t>Balanse 2020</t>
  </si>
  <si>
    <t>Balanse 2019</t>
  </si>
  <si>
    <t>1390</t>
  </si>
  <si>
    <t>1750</t>
  </si>
  <si>
    <t>1900</t>
  </si>
  <si>
    <t>1921</t>
  </si>
  <si>
    <t>1922</t>
  </si>
  <si>
    <t>Haugesgate bofellesskap 2610.40.16676</t>
  </si>
  <si>
    <t>Egenkapital og gjeld</t>
  </si>
  <si>
    <t>Egenkapital</t>
  </si>
  <si>
    <t>Opptjent egenkapital</t>
  </si>
  <si>
    <t>2099</t>
  </si>
  <si>
    <t>Sum egenkapital</t>
  </si>
  <si>
    <t>2600</t>
  </si>
  <si>
    <t>Sum egenkapital og gjeld</t>
  </si>
  <si>
    <t>Skien 14. 2. 2024</t>
  </si>
  <si>
    <t>Styrets leder</t>
  </si>
  <si>
    <t>Marit K. Tovsli               Sindre Klakegg Bruflot               Tonje Nordfonn               Ruben André Smith</t>
  </si>
  <si>
    <t>1. nestleder</t>
  </si>
  <si>
    <t xml:space="preserve">                             Sekretær                            Styremedlem                       Styremedlem</t>
  </si>
  <si>
    <t>Inkluderes:</t>
  </si>
  <si>
    <t xml:space="preserve">Offentlige tilskudd </t>
  </si>
  <si>
    <t>Egenandel Temasamlinger</t>
  </si>
  <si>
    <t>Egenandel Weekend - likemannskurs</t>
  </si>
  <si>
    <t>6810</t>
  </si>
  <si>
    <t>3422</t>
  </si>
  <si>
    <t>3424</t>
  </si>
  <si>
    <t>3400</t>
  </si>
  <si>
    <t>3420</t>
  </si>
  <si>
    <t>3421</t>
  </si>
  <si>
    <t>3450</t>
  </si>
  <si>
    <t>3220</t>
  </si>
  <si>
    <t>3221</t>
  </si>
  <si>
    <t>3222</t>
  </si>
  <si>
    <t>7740</t>
  </si>
  <si>
    <t>8051</t>
  </si>
  <si>
    <t>Avrunding</t>
  </si>
  <si>
    <t>3223</t>
  </si>
  <si>
    <t>Egenandel CP-light</t>
  </si>
  <si>
    <t>3224</t>
  </si>
  <si>
    <t>Egenandel familieturer</t>
  </si>
  <si>
    <t>3225</t>
  </si>
  <si>
    <t>Egenandel mammakvelder</t>
  </si>
  <si>
    <t>Styrehonorarer</t>
  </si>
  <si>
    <t>3226</t>
  </si>
  <si>
    <t>Egenandel Turer  / ut i det fri</t>
  </si>
  <si>
    <t xml:space="preserve">Lønn </t>
  </si>
  <si>
    <t>Regnskap 2024</t>
  </si>
  <si>
    <t>Andre rentekostnader</t>
  </si>
  <si>
    <t>Bank og kortgebyrer</t>
  </si>
  <si>
    <t>7147</t>
  </si>
  <si>
    <t>HOVEDBOK ÅR 2024 FOR CP-FORENINGEN, CP Telemark</t>
  </si>
  <si>
    <t>Noter 2024</t>
  </si>
  <si>
    <t>Cerebral Parese-foreningen, CP Telemark</t>
  </si>
  <si>
    <t>Norsk Tipping AS</t>
  </si>
  <si>
    <t>Bankomkostninger</t>
  </si>
  <si>
    <t>Note nr. 7 Administrasjon</t>
  </si>
  <si>
    <t>Tilskudd, bevilgninger m.v. til oppfyllelse av organisasjonens formål</t>
  </si>
  <si>
    <t>Tilskudd prosjekter</t>
  </si>
  <si>
    <t>Finanskostnad</t>
  </si>
  <si>
    <t>Leder</t>
  </si>
  <si>
    <t>Styremedlem</t>
  </si>
  <si>
    <t>Sum Tilskudd, bevilgninger til oppfyllelse av formål</t>
  </si>
  <si>
    <t>Note nr. 5  Tilskudd, bevilgninger til oppfyllelse av formålet</t>
  </si>
  <si>
    <t xml:space="preserve">Det er ikke kostnadsført honorar til revisjon, da dette dekkes av CP foreningen sentralt. </t>
  </si>
  <si>
    <t>Aktivitetsregnskapsarket:</t>
  </si>
  <si>
    <t>Tor Sjørholt</t>
  </si>
  <si>
    <t>Geir O. G. Nerisen</t>
  </si>
  <si>
    <t>Severein D. Knudsen</t>
  </si>
  <si>
    <t>Jørn A. Jøntvedt</t>
  </si>
  <si>
    <t>Reidar Olsen</t>
  </si>
  <si>
    <t>Stig Fiskodde</t>
  </si>
  <si>
    <t>Espen Svanvik</t>
  </si>
  <si>
    <t>Anders B. Wildar</t>
  </si>
  <si>
    <t>Frank R. Hubenbecker</t>
  </si>
  <si>
    <t>Skyldig styregodtgjørelse</t>
  </si>
  <si>
    <t>Mathuset Skien AS</t>
  </si>
  <si>
    <t>Checkin AS</t>
  </si>
  <si>
    <t>BDO AS</t>
  </si>
  <si>
    <t xml:space="preserve">Sindre K. Bruflot </t>
  </si>
  <si>
    <t>Ruben A. Smith</t>
  </si>
  <si>
    <t>Odd D. Johansen</t>
  </si>
  <si>
    <t xml:space="preserve">Tonje Nordfond </t>
  </si>
  <si>
    <t>Jenny Holte</t>
  </si>
  <si>
    <r>
      <t>Marit K. Tovsli</t>
    </r>
    <r>
      <rPr>
        <sz val="11"/>
        <color rgb="FFFF0000"/>
        <rFont val="Calibri"/>
        <family val="2"/>
        <scheme val="minor"/>
      </rPr>
      <t xml:space="preserve"> </t>
    </r>
  </si>
  <si>
    <r>
      <t>Norsk Tipping AS</t>
    </r>
    <r>
      <rPr>
        <sz val="11"/>
        <color rgb="FFFF0000"/>
        <rFont val="Calibri"/>
        <family val="2"/>
        <scheme val="minor"/>
      </rPr>
      <t xml:space="preserve"> </t>
    </r>
  </si>
  <si>
    <t xml:space="preserve">Kjartan Larsen </t>
  </si>
  <si>
    <t>Merethe Hubenbecker</t>
  </si>
  <si>
    <t xml:space="preserve">Robert Olsen  </t>
  </si>
  <si>
    <t xml:space="preserve">Frank R. Hubenbecker </t>
  </si>
  <si>
    <r>
      <t>Lars Tønnes S. Jonassen</t>
    </r>
    <r>
      <rPr>
        <sz val="11"/>
        <color rgb="FFFF0000"/>
        <rFont val="Calibri"/>
        <family val="2"/>
        <scheme val="minor"/>
      </rPr>
      <t xml:space="preserve"> </t>
    </r>
  </si>
  <si>
    <t xml:space="preserve">Margrethe Gulseth </t>
  </si>
  <si>
    <r>
      <t>Frank R. Hubenbecker</t>
    </r>
    <r>
      <rPr>
        <sz val="11"/>
        <color rgb="FFFF0000"/>
        <rFont val="Calibri"/>
        <family val="2"/>
        <scheme val="minor"/>
      </rPr>
      <t xml:space="preserve"> </t>
    </r>
  </si>
  <si>
    <t xml:space="preserve">CP-foreningen </t>
  </si>
  <si>
    <t>Intern overføring</t>
  </si>
  <si>
    <t>Monica S. Hegna</t>
  </si>
  <si>
    <t xml:space="preserve">Intern overføring </t>
  </si>
  <si>
    <t>Testamentert gave ( via Bull &amp; Co Advokatfirma AS)</t>
  </si>
  <si>
    <t xml:space="preserve">Norsk Tipping AS </t>
  </si>
  <si>
    <t>Stiftelsen Dagsrudheimen</t>
  </si>
  <si>
    <t>Morten Jakobsen</t>
  </si>
  <si>
    <t>Skatteetaten-Skatteinnkreving</t>
  </si>
  <si>
    <t>Kundeutbytte fra Sparebanken Sør</t>
  </si>
  <si>
    <t>Tilskudd gitt</t>
  </si>
  <si>
    <t>Tilskudd prosjekter med mer (se kto 7140)</t>
  </si>
  <si>
    <t>Annen finansinntekt</t>
  </si>
  <si>
    <t>Finansinntekter</t>
  </si>
  <si>
    <t>Foreldresamling</t>
  </si>
  <si>
    <t>Foreldresamlinger</t>
  </si>
  <si>
    <t>Tas ut:</t>
  </si>
  <si>
    <t>Egenandel Weekend - likepersonskurs</t>
  </si>
  <si>
    <t>Innsamlet til H. bofelles. 2610.40.16676</t>
  </si>
  <si>
    <t>Tilbakefør avsetning veranda HG</t>
  </si>
  <si>
    <t>X</t>
  </si>
  <si>
    <t>Telemark turistforening</t>
  </si>
  <si>
    <t>Frank R. Hubenbecker - tidl. Styreleder i CP-Telemark</t>
  </si>
  <si>
    <t>Telemark Turistforening</t>
  </si>
  <si>
    <r>
      <t>Frank R. Hubenbecker</t>
    </r>
    <r>
      <rPr>
        <sz val="10"/>
        <color rgb="FFFF0000"/>
        <rFont val="Arial"/>
        <family val="2"/>
      </rPr>
      <t xml:space="preserve"> </t>
    </r>
  </si>
  <si>
    <r>
      <t xml:space="preserve">Stiftelsen Gurvika - </t>
    </r>
    <r>
      <rPr>
        <sz val="10"/>
        <color rgb="FFFF0000"/>
        <rFont val="Arial"/>
        <family val="2"/>
      </rPr>
      <t>Mangler  1. side av fakturaen</t>
    </r>
  </si>
  <si>
    <t xml:space="preserve">Tone Granheim - Mammaklubben </t>
  </si>
  <si>
    <t xml:space="preserve">Skien kommune </t>
  </si>
  <si>
    <t xml:space="preserve">Stift. Anker St. Boliger </t>
  </si>
  <si>
    <t>Note nr. 6 Kostnader til aktiviteter som oppfyller formålet</t>
  </si>
  <si>
    <t>Note nr. 8 Formålskapital</t>
  </si>
  <si>
    <t>Side 6</t>
  </si>
  <si>
    <t>Note nr. 9 Kortsiktig gjeld</t>
  </si>
  <si>
    <t>Intgern overføring</t>
  </si>
  <si>
    <t>Kristin Snøan</t>
  </si>
  <si>
    <t>Kurs i tidlig diagnostisering av nyfødte</t>
  </si>
  <si>
    <t>Deltakelse på Rubenstur</t>
  </si>
  <si>
    <t>Skien kommune -Støtte deltakelse CP-konferansen</t>
  </si>
  <si>
    <t>Ruben Andre Smith - paraklatring</t>
  </si>
  <si>
    <t>Tone Granheim - Mammaklubben</t>
  </si>
  <si>
    <t>Jenny Holte - paraidrett</t>
  </si>
  <si>
    <t>Vipps Mobilepay AS</t>
  </si>
  <si>
    <t>Paros AS</t>
  </si>
  <si>
    <t>Telemarksavisa AS</t>
  </si>
  <si>
    <t>Rolf Hegna - Haugesgate bofelleskap</t>
  </si>
  <si>
    <t xml:space="preserve">Hege M. Elgtvedt </t>
  </si>
  <si>
    <t>Kjersti Kristensen</t>
  </si>
  <si>
    <t>Foreningen har en deltidsansatt i 4% stilling som aktivitetsleder.</t>
  </si>
  <si>
    <t>Hotel Bryggeparken AS</t>
  </si>
  <si>
    <t>Berit Ragna</t>
  </si>
  <si>
    <t>Internoverføring</t>
  </si>
  <si>
    <t xml:space="preserve">Rolf Hegna - HG Interesseorg </t>
  </si>
  <si>
    <t>Grep Arbeid AS</t>
  </si>
  <si>
    <t>Anne M. Gaupset</t>
  </si>
  <si>
    <t xml:space="preserve">Lars Tønnes S. Jonassen </t>
  </si>
  <si>
    <t>Andreas Borge</t>
  </si>
  <si>
    <t>Kreditrente</t>
  </si>
  <si>
    <t>Kontingentandel 2024</t>
  </si>
  <si>
    <t>Egenandel onsdagstreff</t>
  </si>
  <si>
    <t>Egenandel onsdagstreff'</t>
  </si>
  <si>
    <t>Tilbakeført avsetning fra 2022- tilbygg</t>
  </si>
  <si>
    <t>Egenandel Onsdagstreff</t>
  </si>
  <si>
    <t>Pizzanet AS - Se halvårlig deltakerliste</t>
  </si>
  <si>
    <t>Pizzanet AS -Se halvårlig deltakerliste</t>
  </si>
  <si>
    <t>Mathuset Skien AS - Se halvårlig deltakerliste</t>
  </si>
  <si>
    <r>
      <t>Pizzanet AS -</t>
    </r>
    <r>
      <rPr>
        <sz val="10"/>
        <color rgb="FFFF0000"/>
        <rFont val="Arial"/>
        <family val="2"/>
      </rPr>
      <t xml:space="preserve"> Se halvårlig deltakerliste</t>
    </r>
  </si>
  <si>
    <t>Styrehonorar (Utbetalt for begge år i 2024)</t>
  </si>
  <si>
    <t>Avsetning for tilbygg</t>
  </si>
  <si>
    <t>Klassifikasjon beskrivelse</t>
  </si>
  <si>
    <t>Navnenr</t>
  </si>
  <si>
    <t>Mobil</t>
  </si>
  <si>
    <t>Epost</t>
  </si>
  <si>
    <t>Fylkesstyre Kasserer</t>
  </si>
  <si>
    <t>leder.telemark@cp.no</t>
  </si>
  <si>
    <t>Fylkesstyre Leder</t>
  </si>
  <si>
    <t>Fylkesstyre Medlem</t>
  </si>
  <si>
    <t>Ruben Andrè Smith</t>
  </si>
  <si>
    <t>rubenandresmith@gmail.com</t>
  </si>
  <si>
    <t>Tonje Nordfonn</t>
  </si>
  <si>
    <t>tonnordf@gmail.com</t>
  </si>
  <si>
    <t>Fylkesstyre Sekretær</t>
  </si>
  <si>
    <t>Sindre Klakegg Bruflot</t>
  </si>
  <si>
    <t>sinklbr@online.no</t>
  </si>
  <si>
    <t>Telemark, XX.XXX 2025</t>
  </si>
  <si>
    <t>Aktivitetsregnskap 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</si>
</sst>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  <numFmt numFmtId="167" formatCode="_ * #,##0_ ;_ * \-#,##0_ ;_ * &quot;-&quot;??_ ;_ @_ "/>
    <numFmt numFmtId="168" formatCode="_ * #,##0.0000_ ;_ * \-#,##0.0000_ ;_ * &quot;-&quot;??_ ;_ @_ "/>
    <numFmt numFmtId="169" formatCode="#,##0.00_ ;[Red]\-#,##0.00\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indexed="18"/>
      <name val="Lucida Calligraphy"/>
      <family val="4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22"/>
      <color indexed="18"/>
      <name val="Lucida Calligraphy"/>
      <family val="4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trike/>
      <sz val="11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14" applyNumberFormat="0" applyAlignment="0" applyProtection="0"/>
    <xf numFmtId="0" fontId="21" fillId="7" borderId="15" applyNumberFormat="0" applyAlignment="0" applyProtection="0"/>
    <xf numFmtId="0" fontId="22" fillId="7" borderId="14" applyNumberFormat="0" applyAlignment="0" applyProtection="0"/>
    <xf numFmtId="0" fontId="23" fillId="0" borderId="16" applyNumberFormat="0" applyFill="0" applyAlignment="0" applyProtection="0"/>
    <xf numFmtId="0" fontId="24" fillId="8" borderId="17" applyNumberFormat="0" applyAlignment="0" applyProtection="0"/>
    <xf numFmtId="0" fontId="25" fillId="0" borderId="0" applyNumberFormat="0" applyFill="0" applyBorder="0" applyAlignment="0" applyProtection="0"/>
    <xf numFmtId="0" fontId="1" fillId="9" borderId="18" applyNumberFormat="0" applyFont="0" applyAlignment="0" applyProtection="0"/>
    <xf numFmtId="0" fontId="26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2" fillId="0" borderId="0"/>
    <xf numFmtId="0" fontId="33" fillId="0" borderId="0"/>
  </cellStyleXfs>
  <cellXfs count="276">
    <xf numFmtId="0" fontId="0" fillId="0" borderId="0" xfId="0"/>
    <xf numFmtId="164" fontId="0" fillId="0" borderId="0" xfId="1" applyFont="1"/>
    <xf numFmtId="4" fontId="0" fillId="0" borderId="0" xfId="0" applyNumberFormat="1"/>
    <xf numFmtId="166" fontId="0" fillId="0" borderId="0" xfId="1" applyNumberFormat="1" applyFont="1" applyBorder="1"/>
    <xf numFmtId="165" fontId="0" fillId="0" borderId="0" xfId="1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right"/>
    </xf>
    <xf numFmtId="4" fontId="6" fillId="0" borderId="0" xfId="0" applyNumberFormat="1" applyFont="1"/>
    <xf numFmtId="165" fontId="6" fillId="0" borderId="0" xfId="1" applyNumberFormat="1" applyFont="1" applyBorder="1"/>
    <xf numFmtId="0" fontId="6" fillId="0" borderId="0" xfId="0" applyFont="1"/>
    <xf numFmtId="3" fontId="6" fillId="0" borderId="0" xfId="0" applyNumberFormat="1" applyFont="1"/>
    <xf numFmtId="164" fontId="0" fillId="0" borderId="0" xfId="0" applyNumberFormat="1"/>
    <xf numFmtId="164" fontId="6" fillId="0" borderId="0" xfId="0" applyNumberFormat="1" applyFont="1"/>
    <xf numFmtId="3" fontId="0" fillId="0" borderId="0" xfId="0" applyNumberFormat="1"/>
    <xf numFmtId="166" fontId="6" fillId="0" borderId="0" xfId="1" applyNumberFormat="1" applyFont="1" applyBorder="1"/>
    <xf numFmtId="9" fontId="0" fillId="0" borderId="0" xfId="2" applyFont="1"/>
    <xf numFmtId="167" fontId="6" fillId="0" borderId="0" xfId="1" applyNumberFormat="1" applyFont="1" applyBorder="1"/>
    <xf numFmtId="3" fontId="3" fillId="0" borderId="5" xfId="1" applyNumberFormat="1" applyFont="1" applyBorder="1"/>
    <xf numFmtId="3" fontId="6" fillId="0" borderId="2" xfId="1" applyNumberFormat="1" applyFont="1" applyBorder="1"/>
    <xf numFmtId="3" fontId="6" fillId="0" borderId="5" xfId="1" applyNumberFormat="1" applyFont="1" applyBorder="1"/>
    <xf numFmtId="3" fontId="0" fillId="0" borderId="0" xfId="1" applyNumberFormat="1" applyFont="1" applyBorder="1"/>
    <xf numFmtId="3" fontId="0" fillId="0" borderId="5" xfId="1" applyNumberFormat="1" applyFont="1" applyBorder="1"/>
    <xf numFmtId="3" fontId="6" fillId="0" borderId="9" xfId="1" applyNumberFormat="1" applyFont="1" applyBorder="1"/>
    <xf numFmtId="3" fontId="6" fillId="0" borderId="10" xfId="1" applyNumberFormat="1" applyFont="1" applyBorder="1"/>
    <xf numFmtId="0" fontId="3" fillId="0" borderId="0" xfId="5"/>
    <xf numFmtId="3" fontId="3" fillId="0" borderId="0" xfId="5" applyNumberFormat="1"/>
    <xf numFmtId="0" fontId="10" fillId="0" borderId="8" xfId="5" applyFont="1" applyBorder="1" applyAlignment="1">
      <alignment wrapText="1"/>
    </xf>
    <xf numFmtId="164" fontId="3" fillId="0" borderId="0" xfId="1" applyFont="1"/>
    <xf numFmtId="49" fontId="3" fillId="0" borderId="0" xfId="1" applyNumberFormat="1" applyFont="1" applyAlignment="1">
      <alignment horizontal="right"/>
    </xf>
    <xf numFmtId="4" fontId="3" fillId="0" borderId="0" xfId="1" applyNumberFormat="1" applyFont="1"/>
    <xf numFmtId="164" fontId="6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49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164" fontId="3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3" fontId="3" fillId="0" borderId="3" xfId="3" applyNumberFormat="1" applyFont="1" applyBorder="1"/>
    <xf numFmtId="3" fontId="3" fillId="0" borderId="2" xfId="3" applyNumberFormat="1" applyFont="1" applyBorder="1"/>
    <xf numFmtId="0" fontId="7" fillId="0" borderId="4" xfId="3" applyFont="1" applyBorder="1"/>
    <xf numFmtId="3" fontId="3" fillId="0" borderId="5" xfId="3" applyNumberFormat="1" applyFont="1" applyBorder="1"/>
    <xf numFmtId="0" fontId="6" fillId="0" borderId="2" xfId="3" applyFont="1" applyBorder="1"/>
    <xf numFmtId="0" fontId="3" fillId="0" borderId="2" xfId="3" applyFont="1" applyBorder="1"/>
    <xf numFmtId="3" fontId="6" fillId="0" borderId="2" xfId="3" applyNumberFormat="1" applyFont="1" applyBorder="1"/>
    <xf numFmtId="0" fontId="3" fillId="0" borderId="5" xfId="3" applyFont="1" applyBorder="1" applyAlignment="1">
      <alignment horizontal="right"/>
    </xf>
    <xf numFmtId="0" fontId="3" fillId="0" borderId="8" xfId="3" applyFont="1" applyBorder="1"/>
    <xf numFmtId="0" fontId="3" fillId="0" borderId="6" xfId="3" applyFont="1" applyBorder="1"/>
    <xf numFmtId="3" fontId="6" fillId="0" borderId="3" xfId="3" applyNumberFormat="1" applyFont="1" applyBorder="1"/>
    <xf numFmtId="4" fontId="29" fillId="0" borderId="4" xfId="0" applyNumberFormat="1" applyFont="1" applyBorder="1" applyAlignment="1">
      <alignment horizontal="left"/>
    </xf>
    <xf numFmtId="0" fontId="30" fillId="0" borderId="0" xfId="0" applyFont="1"/>
    <xf numFmtId="0" fontId="12" fillId="0" borderId="0" xfId="0" applyFont="1"/>
    <xf numFmtId="49" fontId="30" fillId="0" borderId="0" xfId="1" applyNumberFormat="1" applyFont="1" applyAlignment="1">
      <alignment horizontal="right" vertical="center"/>
    </xf>
    <xf numFmtId="164" fontId="12" fillId="0" borderId="0" xfId="1" applyFont="1"/>
    <xf numFmtId="4" fontId="12" fillId="0" borderId="0" xfId="1" applyNumberFormat="1" applyFont="1"/>
    <xf numFmtId="4" fontId="31" fillId="0" borderId="0" xfId="1" applyNumberFormat="1" applyFont="1"/>
    <xf numFmtId="4" fontId="12" fillId="0" borderId="0" xfId="0" applyNumberFormat="1" applyFont="1"/>
    <xf numFmtId="0" fontId="9" fillId="0" borderId="5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6" fillId="0" borderId="0" xfId="0" applyFont="1" applyAlignment="1">
      <alignment horizontal="right"/>
    </xf>
    <xf numFmtId="167" fontId="3" fillId="0" borderId="0" xfId="1" applyNumberFormat="1" applyFont="1" applyBorder="1"/>
    <xf numFmtId="49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3" fontId="3" fillId="0" borderId="0" xfId="1" applyNumberFormat="1" applyFont="1" applyBorder="1"/>
    <xf numFmtId="3" fontId="6" fillId="0" borderId="3" xfId="1" applyNumberFormat="1" applyFont="1" applyBorder="1"/>
    <xf numFmtId="0" fontId="6" fillId="0" borderId="1" xfId="6" applyFont="1" applyBorder="1"/>
    <xf numFmtId="3" fontId="3" fillId="0" borderId="5" xfId="3" applyNumberFormat="1" applyFont="1" applyBorder="1" applyAlignment="1">
      <alignment horizontal="right"/>
    </xf>
    <xf numFmtId="3" fontId="6" fillId="0" borderId="2" xfId="3" applyNumberFormat="1" applyFont="1" applyBorder="1" applyAlignment="1">
      <alignment horizontal="right"/>
    </xf>
    <xf numFmtId="3" fontId="6" fillId="0" borderId="3" xfId="3" applyNumberFormat="1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wrapText="1"/>
    </xf>
    <xf numFmtId="167" fontId="6" fillId="0" borderId="5" xfId="1" applyNumberFormat="1" applyFont="1" applyBorder="1"/>
    <xf numFmtId="0" fontId="6" fillId="0" borderId="0" xfId="0" applyFont="1" applyAlignment="1">
      <alignment horizontal="center"/>
    </xf>
    <xf numFmtId="0" fontId="12" fillId="0" borderId="4" xfId="0" applyFont="1" applyBorder="1"/>
    <xf numFmtId="0" fontId="6" fillId="0" borderId="1" xfId="3" applyFont="1" applyBorder="1" applyAlignment="1">
      <alignment horizontal="left"/>
    </xf>
    <xf numFmtId="0" fontId="6" fillId="0" borderId="2" xfId="3" applyFont="1" applyBorder="1" applyAlignment="1">
      <alignment horizontal="center"/>
    </xf>
    <xf numFmtId="0" fontId="31" fillId="0" borderId="0" xfId="0" applyFont="1"/>
    <xf numFmtId="0" fontId="3" fillId="0" borderId="4" xfId="0" applyFont="1" applyBorder="1" applyAlignment="1">
      <alignment horizontal="left"/>
    </xf>
    <xf numFmtId="0" fontId="7" fillId="0" borderId="4" xfId="6" applyFont="1" applyBorder="1"/>
    <xf numFmtId="3" fontId="3" fillId="0" borderId="4" xfId="0" applyNumberFormat="1" applyFont="1" applyBorder="1"/>
    <xf numFmtId="3" fontId="3" fillId="0" borderId="6" xfId="5" applyNumberFormat="1" applyBorder="1"/>
    <xf numFmtId="0" fontId="0" fillId="0" borderId="7" xfId="0" applyBorder="1" applyAlignment="1">
      <alignment horizontal="right"/>
    </xf>
    <xf numFmtId="0" fontId="3" fillId="0" borderId="4" xfId="5" applyBorder="1"/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right" wrapText="1"/>
    </xf>
    <xf numFmtId="3" fontId="3" fillId="0" borderId="5" xfId="0" applyNumberFormat="1" applyFont="1" applyBorder="1"/>
    <xf numFmtId="0" fontId="7" fillId="0" borderId="4" xfId="0" applyFont="1" applyBorder="1"/>
    <xf numFmtId="3" fontId="6" fillId="0" borderId="5" xfId="0" applyNumberFormat="1" applyFont="1" applyBorder="1"/>
    <xf numFmtId="0" fontId="0" fillId="0" borderId="5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right"/>
    </xf>
    <xf numFmtId="0" fontId="3" fillId="0" borderId="4" xfId="0" applyFont="1" applyBorder="1"/>
    <xf numFmtId="0" fontId="6" fillId="0" borderId="4" xfId="0" applyFont="1" applyBorder="1" applyAlignment="1">
      <alignment horizontal="left"/>
    </xf>
    <xf numFmtId="49" fontId="6" fillId="0" borderId="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67" fontId="3" fillId="0" borderId="5" xfId="1" applyNumberFormat="1" applyFont="1" applyBorder="1"/>
    <xf numFmtId="0" fontId="3" fillId="0" borderId="4" xfId="3" applyFont="1" applyBorder="1"/>
    <xf numFmtId="0" fontId="3" fillId="0" borderId="5" xfId="3" applyFont="1" applyBorder="1"/>
    <xf numFmtId="0" fontId="11" fillId="0" borderId="4" xfId="0" applyFont="1" applyBorder="1"/>
    <xf numFmtId="49" fontId="6" fillId="0" borderId="20" xfId="0" applyNumberFormat="1" applyFont="1" applyBorder="1" applyAlignment="1">
      <alignment horizontal="right"/>
    </xf>
    <xf numFmtId="168" fontId="6" fillId="0" borderId="0" xfId="1" applyNumberFormat="1" applyFont="1"/>
    <xf numFmtId="4" fontId="3" fillId="0" borderId="0" xfId="0" applyNumberFormat="1" applyFont="1"/>
    <xf numFmtId="4" fontId="32" fillId="0" borderId="0" xfId="59" applyNumberFormat="1"/>
    <xf numFmtId="4" fontId="6" fillId="0" borderId="21" xfId="0" applyNumberFormat="1" applyFont="1" applyBorder="1"/>
    <xf numFmtId="169" fontId="3" fillId="0" borderId="0" xfId="1" applyNumberFormat="1" applyFont="1"/>
    <xf numFmtId="169" fontId="3" fillId="0" borderId="0" xfId="0" applyNumberFormat="1" applyFont="1"/>
    <xf numFmtId="169" fontId="32" fillId="0" borderId="0" xfId="59" applyNumberFormat="1"/>
    <xf numFmtId="169" fontId="6" fillId="0" borderId="21" xfId="1" applyNumberFormat="1" applyFont="1" applyBorder="1"/>
    <xf numFmtId="0" fontId="2" fillId="0" borderId="4" xfId="0" applyFont="1" applyBorder="1"/>
    <xf numFmtId="14" fontId="3" fillId="0" borderId="0" xfId="0" quotePrefix="1" applyNumberFormat="1" applyFont="1"/>
    <xf numFmtId="0" fontId="2" fillId="0" borderId="0" xfId="0" applyFont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12" fillId="0" borderId="6" xfId="0" applyFont="1" applyBorder="1"/>
    <xf numFmtId="4" fontId="12" fillId="0" borderId="6" xfId="1" applyNumberFormat="1" applyFont="1" applyBorder="1"/>
    <xf numFmtId="0" fontId="12" fillId="0" borderId="0" xfId="0" applyFont="1" applyAlignment="1">
      <alignment wrapText="1"/>
    </xf>
    <xf numFmtId="49" fontId="0" fillId="0" borderId="24" xfId="0" applyNumberFormat="1" applyBorder="1"/>
    <xf numFmtId="0" fontId="0" fillId="0" borderId="25" xfId="0" applyBorder="1"/>
    <xf numFmtId="0" fontId="2" fillId="0" borderId="0" xfId="0" applyFont="1" applyAlignment="1">
      <alignment horizontal="right" vertical="center"/>
    </xf>
    <xf numFmtId="0" fontId="2" fillId="35" borderId="26" xfId="0" applyFont="1" applyFill="1" applyBorder="1" applyAlignment="1">
      <alignment horizontal="left"/>
    </xf>
    <xf numFmtId="0" fontId="2" fillId="35" borderId="27" xfId="0" applyFont="1" applyFill="1" applyBorder="1" applyAlignment="1">
      <alignment horizontal="left"/>
    </xf>
    <xf numFmtId="0" fontId="0" fillId="35" borderId="25" xfId="0" applyFill="1" applyBorder="1"/>
    <xf numFmtId="1" fontId="0" fillId="35" borderId="25" xfId="0" applyNumberFormat="1" applyFill="1" applyBorder="1"/>
    <xf numFmtId="49" fontId="0" fillId="0" borderId="25" xfId="0" applyNumberFormat="1" applyBorder="1"/>
    <xf numFmtId="1" fontId="0" fillId="0" borderId="25" xfId="0" applyNumberFormat="1" applyBorder="1"/>
    <xf numFmtId="49" fontId="0" fillId="35" borderId="24" xfId="0" applyNumberFormat="1" applyFill="1" applyBorder="1"/>
    <xf numFmtId="1" fontId="0" fillId="36" borderId="25" xfId="0" applyNumberFormat="1" applyFill="1" applyBorder="1"/>
    <xf numFmtId="4" fontId="0" fillId="35" borderId="25" xfId="0" applyNumberFormat="1" applyFill="1" applyBorder="1"/>
    <xf numFmtId="0" fontId="0" fillId="35" borderId="24" xfId="0" applyFill="1" applyBorder="1"/>
    <xf numFmtId="0" fontId="0" fillId="0" borderId="24" xfId="0" applyBorder="1"/>
    <xf numFmtId="0" fontId="0" fillId="37" borderId="29" xfId="0" applyFill="1" applyBorder="1"/>
    <xf numFmtId="0" fontId="0" fillId="37" borderId="30" xfId="0" applyFill="1" applyBorder="1"/>
    <xf numFmtId="4" fontId="0" fillId="37" borderId="30" xfId="0" applyNumberFormat="1" applyFill="1" applyBorder="1"/>
    <xf numFmtId="1" fontId="0" fillId="37" borderId="30" xfId="0" applyNumberFormat="1" applyFill="1" applyBorder="1"/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2" fillId="35" borderId="27" xfId="0" applyNumberFormat="1" applyFont="1" applyFill="1" applyBorder="1" applyAlignment="1">
      <alignment horizontal="center"/>
    </xf>
    <xf numFmtId="49" fontId="2" fillId="0" borderId="28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3" fontId="2" fillId="0" borderId="28" xfId="0" applyNumberFormat="1" applyFont="1" applyBorder="1" applyAlignment="1">
      <alignment horizontal="center"/>
    </xf>
    <xf numFmtId="0" fontId="2" fillId="0" borderId="25" xfId="0" applyFont="1" applyBorder="1"/>
    <xf numFmtId="4" fontId="2" fillId="0" borderId="25" xfId="0" applyNumberFormat="1" applyFont="1" applyBorder="1"/>
    <xf numFmtId="3" fontId="2" fillId="0" borderId="25" xfId="0" applyNumberFormat="1" applyFont="1" applyBorder="1" applyAlignment="1">
      <alignment horizontal="center"/>
    </xf>
    <xf numFmtId="4" fontId="0" fillId="0" borderId="25" xfId="0" applyNumberFormat="1" applyBorder="1" applyAlignment="1">
      <alignment horizontal="right"/>
    </xf>
    <xf numFmtId="4" fontId="0" fillId="0" borderId="25" xfId="0" applyNumberFormat="1" applyBorder="1"/>
    <xf numFmtId="4" fontId="0" fillId="0" borderId="25" xfId="0" applyNumberFormat="1" applyBorder="1" applyAlignment="1">
      <alignment horizontal="center"/>
    </xf>
    <xf numFmtId="4" fontId="2" fillId="0" borderId="28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4" fontId="0" fillId="0" borderId="28" xfId="0" applyNumberFormat="1" applyBorder="1"/>
    <xf numFmtId="49" fontId="0" fillId="0" borderId="28" xfId="0" applyNumberFormat="1" applyBorder="1"/>
    <xf numFmtId="4" fontId="0" fillId="35" borderId="25" xfId="0" applyNumberFormat="1" applyFill="1" applyBorder="1" applyAlignment="1">
      <alignment horizontal="center"/>
    </xf>
    <xf numFmtId="49" fontId="2" fillId="0" borderId="24" xfId="0" applyNumberFormat="1" applyFont="1" applyBorder="1"/>
    <xf numFmtId="3" fontId="0" fillId="37" borderId="30" xfId="0" applyNumberFormat="1" applyFill="1" applyBorder="1" applyAlignment="1">
      <alignment horizontal="center"/>
    </xf>
    <xf numFmtId="0" fontId="0" fillId="0" borderId="32" xfId="0" applyBorder="1"/>
    <xf numFmtId="3" fontId="0" fillId="0" borderId="32" xfId="0" applyNumberFormat="1" applyBorder="1" applyAlignment="1">
      <alignment horizontal="center"/>
    </xf>
    <xf numFmtId="49" fontId="34" fillId="0" borderId="24" xfId="0" applyNumberFormat="1" applyFont="1" applyBorder="1"/>
    <xf numFmtId="0" fontId="34" fillId="0" borderId="25" xfId="0" applyFont="1" applyBorder="1"/>
    <xf numFmtId="164" fontId="0" fillId="0" borderId="25" xfId="1" applyFont="1" applyBorder="1"/>
    <xf numFmtId="164" fontId="0" fillId="0" borderId="0" xfId="1" applyFont="1" applyFill="1" applyBorder="1"/>
    <xf numFmtId="164" fontId="12" fillId="0" borderId="0" xfId="1" applyFont="1" applyFill="1" applyBorder="1"/>
    <xf numFmtId="164" fontId="2" fillId="0" borderId="25" xfId="1" applyFont="1" applyBorder="1" applyAlignment="1">
      <alignment horizontal="center"/>
    </xf>
    <xf numFmtId="164" fontId="0" fillId="0" borderId="25" xfId="1" applyFont="1" applyBorder="1" applyAlignment="1">
      <alignment horizontal="center"/>
    </xf>
    <xf numFmtId="164" fontId="2" fillId="0" borderId="28" xfId="1" applyFont="1" applyBorder="1" applyAlignment="1">
      <alignment horizontal="center"/>
    </xf>
    <xf numFmtId="164" fontId="0" fillId="35" borderId="25" xfId="1" applyFont="1" applyFill="1" applyBorder="1" applyAlignment="1">
      <alignment horizontal="center"/>
    </xf>
    <xf numFmtId="164" fontId="0" fillId="37" borderId="30" xfId="1" applyFont="1" applyFill="1" applyBorder="1" applyAlignment="1">
      <alignment horizontal="center"/>
    </xf>
    <xf numFmtId="164" fontId="0" fillId="0" borderId="0" xfId="1" applyFont="1" applyAlignment="1">
      <alignment horizontal="center"/>
    </xf>
    <xf numFmtId="164" fontId="0" fillId="0" borderId="32" xfId="1" applyFont="1" applyBorder="1" applyAlignment="1">
      <alignment horizontal="center"/>
    </xf>
    <xf numFmtId="164" fontId="0" fillId="0" borderId="0" xfId="1" applyFont="1" applyFill="1" applyBorder="1" applyAlignment="1">
      <alignment horizontal="center"/>
    </xf>
    <xf numFmtId="164" fontId="0" fillId="35" borderId="28" xfId="1" applyFont="1" applyFill="1" applyBorder="1"/>
    <xf numFmtId="164" fontId="0" fillId="0" borderId="28" xfId="1" applyFont="1" applyBorder="1"/>
    <xf numFmtId="164" fontId="0" fillId="36" borderId="25" xfId="1" applyFont="1" applyFill="1" applyBorder="1"/>
    <xf numFmtId="164" fontId="0" fillId="35" borderId="25" xfId="1" applyFont="1" applyFill="1" applyBorder="1"/>
    <xf numFmtId="164" fontId="0" fillId="37" borderId="30" xfId="1" applyFont="1" applyFill="1" applyBorder="1"/>
    <xf numFmtId="164" fontId="12" fillId="0" borderId="0" xfId="1" quotePrefix="1" applyFont="1"/>
    <xf numFmtId="164" fontId="0" fillId="0" borderId="33" xfId="1" applyFont="1" applyBorder="1"/>
    <xf numFmtId="49" fontId="0" fillId="34" borderId="31" xfId="0" applyNumberFormat="1" applyFill="1" applyBorder="1"/>
    <xf numFmtId="0" fontId="0" fillId="0" borderId="33" xfId="0" applyBorder="1"/>
    <xf numFmtId="49" fontId="0" fillId="0" borderId="31" xfId="0" applyNumberFormat="1" applyBorder="1"/>
    <xf numFmtId="49" fontId="0" fillId="38" borderId="31" xfId="0" applyNumberFormat="1" applyFill="1" applyBorder="1"/>
    <xf numFmtId="49" fontId="0" fillId="0" borderId="34" xfId="0" applyNumberFormat="1" applyBorder="1"/>
    <xf numFmtId="0" fontId="0" fillId="0" borderId="35" xfId="0" applyBorder="1"/>
    <xf numFmtId="164" fontId="0" fillId="0" borderId="35" xfId="1" applyFont="1" applyBorder="1"/>
    <xf numFmtId="49" fontId="0" fillId="0" borderId="36" xfId="0" applyNumberFormat="1" applyBorder="1"/>
    <xf numFmtId="0" fontId="0" fillId="0" borderId="37" xfId="0" applyBorder="1"/>
    <xf numFmtId="164" fontId="0" fillId="0" borderId="37" xfId="1" applyFont="1" applyBorder="1"/>
    <xf numFmtId="164" fontId="12" fillId="0" borderId="0" xfId="0" applyNumberFormat="1" applyFont="1"/>
    <xf numFmtId="164" fontId="0" fillId="0" borderId="0" xfId="1" applyFont="1" applyBorder="1"/>
    <xf numFmtId="169" fontId="12" fillId="0" borderId="0" xfId="1" applyNumberFormat="1" applyFont="1"/>
    <xf numFmtId="9" fontId="12" fillId="0" borderId="0" xfId="0" applyNumberFormat="1" applyFont="1"/>
    <xf numFmtId="0" fontId="12" fillId="0" borderId="0" xfId="0" applyFont="1" applyAlignment="1">
      <alignment horizontal="center"/>
    </xf>
    <xf numFmtId="0" fontId="6" fillId="0" borderId="21" xfId="0" applyFont="1" applyBorder="1"/>
    <xf numFmtId="164" fontId="6" fillId="0" borderId="21" xfId="1" applyFont="1" applyBorder="1"/>
    <xf numFmtId="0" fontId="3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0" fillId="0" borderId="2" xfId="0" applyBorder="1"/>
    <xf numFmtId="3" fontId="0" fillId="0" borderId="2" xfId="0" applyNumberFormat="1" applyBorder="1"/>
    <xf numFmtId="0" fontId="3" fillId="0" borderId="22" xfId="0" applyFont="1" applyBorder="1"/>
    <xf numFmtId="0" fontId="6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8" xfId="0" applyFont="1" applyBorder="1"/>
    <xf numFmtId="3" fontId="6" fillId="0" borderId="6" xfId="0" applyNumberFormat="1" applyFont="1" applyBorder="1"/>
    <xf numFmtId="10" fontId="6" fillId="0" borderId="6" xfId="2" applyNumberFormat="1" applyFont="1" applyBorder="1"/>
    <xf numFmtId="3" fontId="6" fillId="0" borderId="7" xfId="0" applyNumberFormat="1" applyFont="1" applyBorder="1"/>
    <xf numFmtId="0" fontId="6" fillId="0" borderId="22" xfId="0" applyFont="1" applyBorder="1"/>
    <xf numFmtId="0" fontId="0" fillId="0" borderId="23" xfId="0" applyBorder="1"/>
    <xf numFmtId="49" fontId="6" fillId="0" borderId="23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6" xfId="0" applyFont="1" applyBorder="1"/>
    <xf numFmtId="0" fontId="3" fillId="0" borderId="22" xfId="3" applyFont="1" applyBorder="1"/>
    <xf numFmtId="0" fontId="3" fillId="0" borderId="23" xfId="3" applyFont="1" applyBorder="1"/>
    <xf numFmtId="0" fontId="0" fillId="0" borderId="20" xfId="0" applyBorder="1" applyAlignment="1">
      <alignment horizontal="right"/>
    </xf>
    <xf numFmtId="0" fontId="35" fillId="0" borderId="4" xfId="0" applyFont="1" applyBorder="1"/>
    <xf numFmtId="0" fontId="2" fillId="0" borderId="1" xfId="0" applyFont="1" applyBorder="1"/>
    <xf numFmtId="0" fontId="6" fillId="0" borderId="5" xfId="0" applyFont="1" applyBorder="1" applyAlignment="1">
      <alignment horizontal="right" vertical="top" wrapText="1"/>
    </xf>
    <xf numFmtId="0" fontId="3" fillId="0" borderId="4" xfId="6" applyBorder="1"/>
    <xf numFmtId="0" fontId="29" fillId="0" borderId="5" xfId="0" applyFont="1" applyBorder="1"/>
    <xf numFmtId="0" fontId="3" fillId="0" borderId="0" xfId="0" applyFont="1" applyAlignment="1">
      <alignment horizontal="right"/>
    </xf>
    <xf numFmtId="4" fontId="12" fillId="0" borderId="0" xfId="1" applyNumberFormat="1" applyFont="1" applyFill="1"/>
    <xf numFmtId="3" fontId="6" fillId="0" borderId="0" xfId="1" applyNumberFormat="1" applyFont="1" applyFill="1" applyBorder="1"/>
    <xf numFmtId="3" fontId="6" fillId="0" borderId="5" xfId="1" applyNumberFormat="1" applyFont="1" applyFill="1" applyBorder="1"/>
    <xf numFmtId="3" fontId="3" fillId="0" borderId="0" xfId="1" applyNumberFormat="1" applyFont="1" applyFill="1" applyBorder="1"/>
    <xf numFmtId="3" fontId="3" fillId="0" borderId="5" xfId="1" applyNumberFormat="1" applyFont="1" applyFill="1" applyBorder="1"/>
    <xf numFmtId="3" fontId="0" fillId="0" borderId="0" xfId="1" applyNumberFormat="1" applyFont="1" applyFill="1" applyBorder="1"/>
    <xf numFmtId="3" fontId="0" fillId="0" borderId="5" xfId="1" applyNumberFormat="1" applyFont="1" applyFill="1" applyBorder="1"/>
    <xf numFmtId="4" fontId="3" fillId="38" borderId="0" xfId="0" applyNumberFormat="1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1" applyNumberFormat="1" applyFont="1" applyFill="1"/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wrapText="1"/>
    </xf>
    <xf numFmtId="0" fontId="0" fillId="0" borderId="5" xfId="0" applyBorder="1" applyAlignment="1">
      <alignment horizontal="right"/>
    </xf>
    <xf numFmtId="164" fontId="12" fillId="0" borderId="33" xfId="1" applyFont="1" applyBorder="1"/>
    <xf numFmtId="164" fontId="12" fillId="0" borderId="35" xfId="1" applyFont="1" applyBorder="1"/>
    <xf numFmtId="164" fontId="12" fillId="0" borderId="37" xfId="1" applyFont="1" applyBorder="1"/>
    <xf numFmtId="4" fontId="6" fillId="0" borderId="0" xfId="0" applyNumberFormat="1" applyFont="1" applyAlignment="1">
      <alignment horizontal="right"/>
    </xf>
    <xf numFmtId="0" fontId="6" fillId="0" borderId="4" xfId="6" applyFont="1" applyBorder="1"/>
    <xf numFmtId="0" fontId="3" fillId="0" borderId="0" xfId="3" applyFont="1"/>
    <xf numFmtId="3" fontId="6" fillId="0" borderId="0" xfId="3" applyNumberFormat="1" applyFont="1"/>
    <xf numFmtId="3" fontId="6" fillId="0" borderId="5" xfId="3" applyNumberFormat="1" applyFont="1" applyBorder="1"/>
    <xf numFmtId="0" fontId="6" fillId="0" borderId="0" xfId="0" applyFont="1" applyAlignment="1">
      <alignment horizontal="right" wrapText="1"/>
    </xf>
    <xf numFmtId="3" fontId="3" fillId="0" borderId="0" xfId="3" applyNumberFormat="1" applyFont="1"/>
    <xf numFmtId="3" fontId="3" fillId="0" borderId="0" xfId="3" applyNumberFormat="1" applyFont="1" applyAlignment="1">
      <alignment horizontal="right"/>
    </xf>
    <xf numFmtId="0" fontId="9" fillId="0" borderId="0" xfId="3" applyFont="1" applyAlignment="1">
      <alignment horizontal="center"/>
    </xf>
    <xf numFmtId="3" fontId="3" fillId="0" borderId="0" xfId="0" applyNumberFormat="1" applyFont="1"/>
    <xf numFmtId="0" fontId="0" fillId="0" borderId="0" xfId="0" applyAlignment="1">
      <alignment horizontal="right" wrapText="1"/>
    </xf>
    <xf numFmtId="0" fontId="3" fillId="0" borderId="0" xfId="3" applyFont="1" applyAlignment="1">
      <alignment horizontal="right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top" wrapText="1"/>
    </xf>
    <xf numFmtId="0" fontId="3" fillId="0" borderId="0" xfId="6"/>
    <xf numFmtId="0" fontId="0" fillId="0" borderId="38" xfId="0" applyBorder="1"/>
    <xf numFmtId="0" fontId="0" fillId="0" borderId="39" xfId="0" applyBorder="1"/>
    <xf numFmtId="0" fontId="0" fillId="0" borderId="38" xfId="0" applyBorder="1" applyAlignment="1">
      <alignment horizontal="center"/>
    </xf>
    <xf numFmtId="3" fontId="0" fillId="0" borderId="5" xfId="0" applyNumberFormat="1" applyBorder="1"/>
    <xf numFmtId="0" fontId="1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49" fontId="2" fillId="0" borderId="31" xfId="0" applyNumberFormat="1" applyFont="1" applyBorder="1" applyAlignment="1">
      <alignment horizontal="left"/>
    </xf>
    <xf numFmtId="49" fontId="2" fillId="0" borderId="28" xfId="0" applyNumberFormat="1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8" xfId="0" applyFont="1" applyBorder="1" applyAlignment="1">
      <alignment horizontal="left"/>
    </xf>
  </cellXfs>
  <cellStyles count="61">
    <cellStyle name="20 % – uthevingsfarge 1" xfId="28" builtinId="30" customBuiltin="1"/>
    <cellStyle name="20 % – uthevingsfarge 2" xfId="32" builtinId="34" customBuiltin="1"/>
    <cellStyle name="20 % – uthevingsfarge 3" xfId="36" builtinId="38" customBuiltin="1"/>
    <cellStyle name="20 % – uthevingsfarge 4" xfId="40" builtinId="42" customBuiltin="1"/>
    <cellStyle name="20 % – uthevingsfarge 5" xfId="44" builtinId="46" customBuiltin="1"/>
    <cellStyle name="20 % – uthevingsfarge 6" xfId="48" builtinId="50" customBuiltin="1"/>
    <cellStyle name="40 % – uthevingsfarge 1" xfId="29" builtinId="31" customBuiltin="1"/>
    <cellStyle name="40 % – uthevingsfarge 2" xfId="33" builtinId="35" customBuiltin="1"/>
    <cellStyle name="40 % – uthevingsfarge 3" xfId="37" builtinId="39" customBuiltin="1"/>
    <cellStyle name="40 % – uthevingsfarge 4" xfId="41" builtinId="43" customBuiltin="1"/>
    <cellStyle name="40 % – uthevingsfarge 5" xfId="45" builtinId="47" customBuiltin="1"/>
    <cellStyle name="40 % – uthevingsfarge 6" xfId="49" builtinId="51" customBuiltin="1"/>
    <cellStyle name="60 % – uthevingsfarge 1" xfId="30" builtinId="32" customBuiltin="1"/>
    <cellStyle name="60 % – uthevingsfarge 2" xfId="34" builtinId="36" customBuiltin="1"/>
    <cellStyle name="60 % – uthevingsfarge 3" xfId="38" builtinId="40" customBuiltin="1"/>
    <cellStyle name="60 % – uthevingsfarge 4" xfId="42" builtinId="44" customBuiltin="1"/>
    <cellStyle name="60 % – uthevingsfarge 5" xfId="46" builtinId="48" customBuiltin="1"/>
    <cellStyle name="60 % – uthevingsfarge 6" xfId="50" builtinId="52" customBuiltin="1"/>
    <cellStyle name="Beregning" xfId="20" builtinId="22" customBuiltin="1"/>
    <cellStyle name="Dårlig" xfId="16" builtinId="27" customBuiltin="1"/>
    <cellStyle name="Forklarende tekst" xfId="25" builtinId="53" customBuiltin="1"/>
    <cellStyle name="God" xfId="15" builtinId="26" customBuiltin="1"/>
    <cellStyle name="Inndata" xfId="18" builtinId="20" customBuiltin="1"/>
    <cellStyle name="Koblet celle" xfId="21" builtinId="24" customBuiltin="1"/>
    <cellStyle name="Komma" xfId="1" builtinId="3"/>
    <cellStyle name="Komma 2" xfId="53" xr:uid="{00000000-0005-0000-0000-000019000000}"/>
    <cellStyle name="Komma 3" xfId="54" xr:uid="{00000000-0005-0000-0000-00001A000000}"/>
    <cellStyle name="Komma 4" xfId="52" xr:uid="{00000000-0005-0000-0000-00001B000000}"/>
    <cellStyle name="Komma 5" xfId="55" xr:uid="{00000000-0005-0000-0000-00001C000000}"/>
    <cellStyle name="Kontrollcelle" xfId="22" builtinId="23" customBuiltin="1"/>
    <cellStyle name="Merknad" xfId="24" builtinId="10" customBuiltin="1"/>
    <cellStyle name="Normal" xfId="0" builtinId="0"/>
    <cellStyle name="Normal 2" xfId="3" xr:uid="{00000000-0005-0000-0000-000020000000}"/>
    <cellStyle name="Normal 2 2" xfId="6" xr:uid="{00000000-0005-0000-0000-000021000000}"/>
    <cellStyle name="Normal 2 3" xfId="58" xr:uid="{00000000-0005-0000-0000-000022000000}"/>
    <cellStyle name="Normal 3" xfId="5" xr:uid="{00000000-0005-0000-0000-000023000000}"/>
    <cellStyle name="Normal 4" xfId="59" xr:uid="{00000000-0005-0000-0000-000024000000}"/>
    <cellStyle name="Normal 4 2" xfId="60" xr:uid="{00000000-0005-0000-0000-000025000000}"/>
    <cellStyle name="Nøytral" xfId="17" builtinId="28" customBuiltin="1"/>
    <cellStyle name="Overskrift 1" xfId="11" builtinId="16" customBuiltin="1"/>
    <cellStyle name="Overskrift 2" xfId="12" builtinId="17" customBuiltin="1"/>
    <cellStyle name="Overskrift 3" xfId="13" builtinId="18" customBuiltin="1"/>
    <cellStyle name="Overskrift 4" xfId="14" builtinId="19" customBuiltin="1"/>
    <cellStyle name="Prosent" xfId="2" builtinId="5"/>
    <cellStyle name="Prosent 2" xfId="7" xr:uid="{00000000-0005-0000-0000-00002C000000}"/>
    <cellStyle name="Prosent 3" xfId="8" xr:uid="{00000000-0005-0000-0000-00002D000000}"/>
    <cellStyle name="Prosent 3 2" xfId="56" xr:uid="{00000000-0005-0000-0000-00002E000000}"/>
    <cellStyle name="Tittel 2" xfId="51" xr:uid="{00000000-0005-0000-0000-00002F000000}"/>
    <cellStyle name="Totalt" xfId="26" builtinId="25" customBuiltin="1"/>
    <cellStyle name="Tusenskille 2" xfId="4" xr:uid="{00000000-0005-0000-0000-000031000000}"/>
    <cellStyle name="Tusenskille 2 2" xfId="10" xr:uid="{00000000-0005-0000-0000-000032000000}"/>
    <cellStyle name="Tusenskille 2 3" xfId="57" xr:uid="{00000000-0005-0000-0000-000033000000}"/>
    <cellStyle name="Tusenskille 3" xfId="9" xr:uid="{00000000-0005-0000-0000-000034000000}"/>
    <cellStyle name="Utdata" xfId="19" builtinId="21" customBuiltin="1"/>
    <cellStyle name="Uthevingsfarge1" xfId="27" builtinId="29" customBuiltin="1"/>
    <cellStyle name="Uthevingsfarge2" xfId="31" builtinId="33" customBuiltin="1"/>
    <cellStyle name="Uthevingsfarge3" xfId="35" builtinId="37" customBuiltin="1"/>
    <cellStyle name="Uthevingsfarge4" xfId="39" builtinId="41" customBuiltin="1"/>
    <cellStyle name="Uthevingsfarge5" xfId="43" builtinId="45" customBuiltin="1"/>
    <cellStyle name="Uthevingsfarge6" xfId="47" builtinId="49" customBuiltin="1"/>
    <cellStyle name="Varseltekst" xfId="2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55563</xdr:colOff>
      <xdr:row>5</xdr:row>
      <xdr:rowOff>23813</xdr:rowOff>
    </xdr:from>
    <xdr:to>
      <xdr:col>23</xdr:col>
      <xdr:colOff>45277</xdr:colOff>
      <xdr:row>33</xdr:row>
      <xdr:rowOff>126298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19563" y="944563"/>
          <a:ext cx="6085714" cy="5619048"/>
        </a:xfrm>
        <a:prstGeom prst="rect">
          <a:avLst/>
        </a:prstGeom>
      </xdr:spPr>
    </xdr:pic>
    <xdr:clientData/>
  </xdr:twoCellAnchor>
  <xdr:twoCellAnchor editAs="oneCell">
    <xdr:from>
      <xdr:col>15</xdr:col>
      <xdr:colOff>158750</xdr:colOff>
      <xdr:row>33</xdr:row>
      <xdr:rowOff>103187</xdr:rowOff>
    </xdr:from>
    <xdr:to>
      <xdr:col>23</xdr:col>
      <xdr:colOff>5607</xdr:colOff>
      <xdr:row>57</xdr:row>
      <xdr:rowOff>129595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22750" y="6540500"/>
          <a:ext cx="5942857" cy="4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1543050</xdr:colOff>
      <xdr:row>4</xdr:row>
      <xdr:rowOff>19050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3050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762000</xdr:colOff>
      <xdr:row>4</xdr:row>
      <xdr:rowOff>19050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52400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J189"/>
  <sheetViews>
    <sheetView tabSelected="1" zoomScaleNormal="100" workbookViewId="0">
      <selection activeCell="D28" sqref="D28"/>
    </sheetView>
  </sheetViews>
  <sheetFormatPr baseColWidth="10" defaultColWidth="11.42578125" defaultRowHeight="15" x14ac:dyDescent="0.25"/>
  <cols>
    <col min="1" max="1" width="32" customWidth="1"/>
    <col min="2" max="2" width="13.28515625" customWidth="1"/>
    <col min="3" max="3" width="14.85546875" customWidth="1"/>
    <col min="4" max="4" width="12.28515625" customWidth="1"/>
    <col min="5" max="5" width="12.42578125" customWidth="1"/>
    <col min="6" max="6" width="20" style="2" customWidth="1"/>
    <col min="7" max="7" width="16.5703125" style="3" customWidth="1"/>
    <col min="8" max="8" width="14.5703125" style="4" bestFit="1" customWidth="1"/>
    <col min="10" max="10" width="12.85546875" bestFit="1" customWidth="1"/>
  </cols>
  <sheetData>
    <row r="8" spans="1:8" ht="33.75" x14ac:dyDescent="0.6">
      <c r="A8" s="261" t="s">
        <v>474</v>
      </c>
      <c r="B8" s="261"/>
      <c r="C8" s="261"/>
      <c r="D8" s="261"/>
      <c r="E8" s="261"/>
      <c r="F8" s="5"/>
    </row>
    <row r="10" spans="1:8" x14ac:dyDescent="0.25">
      <c r="F10" s="3"/>
      <c r="G10" s="4"/>
      <c r="H10"/>
    </row>
    <row r="13" spans="1:8" ht="33.75" x14ac:dyDescent="0.6">
      <c r="A13" s="265" t="s">
        <v>143</v>
      </c>
      <c r="B13" s="265"/>
      <c r="C13" s="265"/>
      <c r="D13" s="265"/>
      <c r="E13" s="265"/>
      <c r="F13" s="5"/>
    </row>
    <row r="15" spans="1:8" ht="33.75" x14ac:dyDescent="0.6">
      <c r="A15" s="265" t="s">
        <v>157</v>
      </c>
      <c r="B15" s="265"/>
      <c r="C15" s="265"/>
      <c r="D15" s="265"/>
      <c r="E15" s="265"/>
    </row>
    <row r="47" spans="1:5" ht="20.25" x14ac:dyDescent="0.3">
      <c r="A47" s="262" t="s">
        <v>11</v>
      </c>
      <c r="B47" s="263"/>
      <c r="C47" s="263"/>
      <c r="D47" s="263"/>
      <c r="E47" s="264"/>
    </row>
    <row r="48" spans="1:5" x14ac:dyDescent="0.25">
      <c r="A48" s="203"/>
      <c r="B48" s="204" t="s">
        <v>49</v>
      </c>
      <c r="C48" s="205" t="s">
        <v>12</v>
      </c>
      <c r="D48" s="205" t="s">
        <v>57</v>
      </c>
      <c r="E48" s="206" t="s">
        <v>12</v>
      </c>
    </row>
    <row r="49" spans="1:10" x14ac:dyDescent="0.25">
      <c r="A49" s="84" t="s">
        <v>13</v>
      </c>
      <c r="B49" s="72"/>
      <c r="C49" s="61" t="s">
        <v>158</v>
      </c>
      <c r="D49" s="61" t="s">
        <v>158</v>
      </c>
      <c r="E49" s="96" t="s">
        <v>153</v>
      </c>
    </row>
    <row r="50" spans="1:10" x14ac:dyDescent="0.25">
      <c r="A50" s="84"/>
      <c r="B50" s="72"/>
      <c r="C50" s="61"/>
      <c r="D50" s="61"/>
      <c r="E50" s="96"/>
    </row>
    <row r="51" spans="1:10" x14ac:dyDescent="0.25">
      <c r="A51" s="94"/>
      <c r="B51" s="31"/>
      <c r="C51" s="60"/>
      <c r="D51" s="60"/>
      <c r="E51" s="98"/>
    </row>
    <row r="52" spans="1:10" x14ac:dyDescent="0.25">
      <c r="A52" s="87" t="s">
        <v>14</v>
      </c>
      <c r="B52" s="31"/>
      <c r="C52" s="226">
        <f>Saldobalanse!C12*-1</f>
        <v>10420</v>
      </c>
      <c r="D52" s="226">
        <f>Saldobalanse!D12*-1</f>
        <v>11000</v>
      </c>
      <c r="E52" s="227">
        <f>Saldobalanse!E12*-1</f>
        <v>10660</v>
      </c>
    </row>
    <row r="53" spans="1:10" x14ac:dyDescent="0.25">
      <c r="A53" s="94"/>
      <c r="B53" s="31"/>
      <c r="C53" s="228"/>
      <c r="D53" s="228"/>
      <c r="E53" s="229"/>
    </row>
    <row r="54" spans="1:10" x14ac:dyDescent="0.25">
      <c r="A54" s="87" t="s">
        <v>15</v>
      </c>
      <c r="B54" s="72">
        <v>3</v>
      </c>
      <c r="C54" s="228"/>
      <c r="D54" s="228"/>
      <c r="E54" s="229"/>
    </row>
    <row r="55" spans="1:10" x14ac:dyDescent="0.25">
      <c r="A55" s="94" t="s">
        <v>16</v>
      </c>
      <c r="C55" s="228">
        <f>Noter!F60</f>
        <v>31037.91</v>
      </c>
      <c r="D55" s="228">
        <f ca="1">Noter!G60</f>
        <v>26000</v>
      </c>
      <c r="E55" s="229">
        <f ca="1">Noter!H60</f>
        <v>30974.45</v>
      </c>
    </row>
    <row r="56" spans="1:10" x14ac:dyDescent="0.25">
      <c r="A56" s="94" t="s">
        <v>115</v>
      </c>
      <c r="B56" s="31"/>
      <c r="C56" s="228">
        <f>Noter!F65</f>
        <v>55000</v>
      </c>
      <c r="D56" s="228">
        <f ca="1">Noter!G65</f>
        <v>75000</v>
      </c>
      <c r="E56" s="229">
        <f ca="1">Noter!H65</f>
        <v>40000</v>
      </c>
    </row>
    <row r="57" spans="1:10" s="9" customFormat="1" ht="12.75" x14ac:dyDescent="0.2">
      <c r="A57" s="84" t="s">
        <v>17</v>
      </c>
      <c r="B57" s="72"/>
      <c r="C57" s="226">
        <f t="shared" ref="C57:D57" si="0">SUM(C55:C56)</f>
        <v>86037.91</v>
      </c>
      <c r="D57" s="226">
        <f t="shared" ca="1" si="0"/>
        <v>101000</v>
      </c>
      <c r="E57" s="227">
        <f ca="1">SUM(E55:E56)</f>
        <v>70974.45</v>
      </c>
      <c r="F57" s="7"/>
      <c r="G57" s="14"/>
      <c r="H57" s="8"/>
    </row>
    <row r="58" spans="1:10" s="9" customFormat="1" ht="12.75" x14ac:dyDescent="0.2">
      <c r="A58" s="84"/>
      <c r="B58" s="72"/>
      <c r="C58" s="226"/>
      <c r="D58" s="226"/>
      <c r="E58" s="227"/>
      <c r="F58" s="7"/>
      <c r="G58" s="14"/>
      <c r="H58" s="8"/>
    </row>
    <row r="59" spans="1:10" x14ac:dyDescent="0.25">
      <c r="A59" s="87" t="s">
        <v>18</v>
      </c>
      <c r="C59" s="230"/>
      <c r="D59" s="230"/>
      <c r="E59" s="231"/>
    </row>
    <row r="60" spans="1:10" s="9" customFormat="1" ht="12.75" x14ac:dyDescent="0.2">
      <c r="A60" s="84" t="s">
        <v>19</v>
      </c>
      <c r="B60" s="72"/>
      <c r="C60" s="226">
        <f>Saldobalanse!C25*-1</f>
        <v>2858717.73</v>
      </c>
      <c r="D60" s="226">
        <f>Saldobalanse!D25*-1</f>
        <v>2800500</v>
      </c>
      <c r="E60" s="227">
        <f>Saldobalanse!E25*-1</f>
        <v>895</v>
      </c>
      <c r="F60" s="7"/>
      <c r="G60" s="14"/>
      <c r="H60" s="8"/>
    </row>
    <row r="61" spans="1:10" s="9" customFormat="1" ht="12.75" x14ac:dyDescent="0.2">
      <c r="A61" s="84"/>
      <c r="B61" s="72"/>
      <c r="C61" s="226"/>
      <c r="D61" s="226"/>
      <c r="E61" s="227"/>
      <c r="F61" s="7"/>
      <c r="G61" s="14"/>
      <c r="H61" s="8"/>
    </row>
    <row r="62" spans="1:10" x14ac:dyDescent="0.25">
      <c r="A62" s="94"/>
      <c r="B62" s="31"/>
      <c r="C62" s="228"/>
      <c r="D62" s="228"/>
      <c r="E62" s="229"/>
    </row>
    <row r="63" spans="1:10" x14ac:dyDescent="0.25">
      <c r="A63" s="84" t="s">
        <v>20</v>
      </c>
      <c r="B63" s="31"/>
      <c r="C63" s="228"/>
      <c r="D63" s="228"/>
      <c r="E63" s="229"/>
      <c r="J63" s="11"/>
    </row>
    <row r="64" spans="1:10" x14ac:dyDescent="0.25">
      <c r="A64" s="87" t="s">
        <v>21</v>
      </c>
      <c r="B64" s="31"/>
      <c r="C64" s="228"/>
      <c r="D64" s="228"/>
      <c r="E64" s="229"/>
    </row>
    <row r="65" spans="1:10" x14ac:dyDescent="0.25">
      <c r="A65" s="69" t="s">
        <v>116</v>
      </c>
      <c r="B65" s="72">
        <v>4</v>
      </c>
      <c r="C65" s="228">
        <f>Noter!F77</f>
        <v>13016</v>
      </c>
      <c r="D65" s="228">
        <f>Noter!G77</f>
        <v>31500</v>
      </c>
      <c r="E65" s="229">
        <f>Noter!H77</f>
        <v>5150</v>
      </c>
    </row>
    <row r="66" spans="1:10" s="9" customFormat="1" ht="12.75" x14ac:dyDescent="0.2">
      <c r="A66" s="94"/>
      <c r="B66" s="31"/>
      <c r="C66" s="228"/>
      <c r="D66" s="228"/>
      <c r="E66" s="229"/>
      <c r="F66" s="7"/>
      <c r="G66" s="14"/>
      <c r="H66" s="8"/>
      <c r="J66" s="12"/>
    </row>
    <row r="67" spans="1:10" x14ac:dyDescent="0.25">
      <c r="A67" s="87" t="s">
        <v>22</v>
      </c>
      <c r="B67" s="31"/>
      <c r="C67" s="228"/>
      <c r="D67" s="228"/>
      <c r="E67" s="229"/>
    </row>
    <row r="68" spans="1:10" x14ac:dyDescent="0.25">
      <c r="A68" s="70" t="s">
        <v>5</v>
      </c>
      <c r="B68" s="31"/>
      <c r="C68" s="228">
        <f>Saldobalanse!C51*-1</f>
        <v>97030</v>
      </c>
      <c r="D68" s="228">
        <f>Saldobalanse!D51*-1</f>
        <v>80000</v>
      </c>
      <c r="E68" s="229">
        <f>Saldobalanse!E51*-1</f>
        <v>19345</v>
      </c>
      <c r="J68" s="11"/>
    </row>
    <row r="69" spans="1:10" x14ac:dyDescent="0.25">
      <c r="A69" s="94" t="s">
        <v>117</v>
      </c>
      <c r="B69" s="31"/>
      <c r="C69" s="228">
        <v>0</v>
      </c>
      <c r="D69" s="228">
        <v>0</v>
      </c>
      <c r="E69" s="229">
        <v>0</v>
      </c>
    </row>
    <row r="70" spans="1:10" s="9" customFormat="1" ht="12.75" x14ac:dyDescent="0.2">
      <c r="A70" s="87" t="s">
        <v>23</v>
      </c>
      <c r="B70" s="31"/>
      <c r="C70" s="226">
        <f>SUM(C68:C69)</f>
        <v>97030</v>
      </c>
      <c r="D70" s="226">
        <f>SUM(D68:D69)</f>
        <v>80000</v>
      </c>
      <c r="E70" s="227">
        <f>SUM(E68:E69)</f>
        <v>19345</v>
      </c>
      <c r="F70" s="7"/>
      <c r="G70" s="14"/>
      <c r="H70" s="8"/>
    </row>
    <row r="71" spans="1:10" x14ac:dyDescent="0.25">
      <c r="A71" s="84"/>
      <c r="B71" s="31"/>
      <c r="C71" s="226"/>
      <c r="D71" s="226"/>
      <c r="E71" s="227"/>
    </row>
    <row r="72" spans="1:10" x14ac:dyDescent="0.25">
      <c r="A72" s="87" t="s">
        <v>10</v>
      </c>
      <c r="B72" s="31"/>
      <c r="C72" s="226">
        <f>(Saldobalanse!C26)*-1</f>
        <v>0</v>
      </c>
      <c r="D72" s="226">
        <f>(Saldobalanse!D19+Saldobalanse!D26)*-1</f>
        <v>30000</v>
      </c>
      <c r="E72" s="227">
        <f>(Saldobalanse!E19+Saldobalanse!E26)*-1</f>
        <v>39790.629999999997</v>
      </c>
    </row>
    <row r="73" spans="1:10" x14ac:dyDescent="0.25">
      <c r="A73" s="69"/>
      <c r="B73" s="72"/>
      <c r="C73" s="62"/>
      <c r="D73" s="62"/>
      <c r="E73" s="19"/>
    </row>
    <row r="74" spans="1:10" x14ac:dyDescent="0.25">
      <c r="A74" t="s">
        <v>23</v>
      </c>
      <c r="C74" s="228">
        <f>Saldobalanse!C52*-1</f>
        <v>1674</v>
      </c>
      <c r="D74" s="228">
        <f>Saldobalanse!D52*-1</f>
        <v>0</v>
      </c>
      <c r="E74" s="229">
        <f>Saldobalanse!E52*-1</f>
        <v>0</v>
      </c>
    </row>
    <row r="75" spans="1:10" x14ac:dyDescent="0.25">
      <c r="A75" s="84"/>
      <c r="B75" s="72"/>
      <c r="C75" s="62"/>
      <c r="D75" s="62"/>
      <c r="E75" s="19"/>
    </row>
    <row r="76" spans="1:10" x14ac:dyDescent="0.25">
      <c r="A76" s="84" t="s">
        <v>0</v>
      </c>
      <c r="B76" s="72"/>
      <c r="C76" s="62">
        <f>SUM(C52+C57+C60+C65+C70+C72+C74)</f>
        <v>3066895.64</v>
      </c>
      <c r="D76" s="62">
        <f t="shared" ref="D76:E76" ca="1" si="1">SUM(D52+D57+D60+D65+D70+D72+D74)</f>
        <v>3049000</v>
      </c>
      <c r="E76" s="227">
        <f t="shared" ca="1" si="1"/>
        <v>141665.07999999999</v>
      </c>
    </row>
    <row r="77" spans="1:10" x14ac:dyDescent="0.25">
      <c r="A77" s="69"/>
      <c r="B77" s="72"/>
      <c r="C77" s="242"/>
      <c r="D77" s="59"/>
      <c r="E77" s="6"/>
    </row>
    <row r="78" spans="1:10" x14ac:dyDescent="0.25">
      <c r="A78" s="69"/>
      <c r="B78" s="72"/>
      <c r="C78" s="10"/>
      <c r="D78" s="10"/>
      <c r="E78" s="88"/>
    </row>
    <row r="79" spans="1:10" s="9" customFormat="1" ht="12.75" x14ac:dyDescent="0.2">
      <c r="A79" s="84"/>
      <c r="B79" s="72"/>
      <c r="C79" s="10"/>
      <c r="D79" s="10"/>
      <c r="E79" s="88"/>
      <c r="F79" s="7"/>
      <c r="G79" s="14"/>
      <c r="H79" s="8"/>
    </row>
    <row r="80" spans="1:10" x14ac:dyDescent="0.25">
      <c r="A80" s="84" t="s">
        <v>25</v>
      </c>
      <c r="B80" s="72"/>
      <c r="C80" s="10"/>
      <c r="D80" s="10"/>
      <c r="E80" s="88"/>
    </row>
    <row r="81" spans="1:8" x14ac:dyDescent="0.25">
      <c r="A81" s="69"/>
      <c r="B81" s="72"/>
      <c r="C81" s="16"/>
      <c r="D81" s="16"/>
      <c r="E81" s="71"/>
    </row>
    <row r="82" spans="1:8" x14ac:dyDescent="0.25">
      <c r="A82" s="87" t="s">
        <v>26</v>
      </c>
      <c r="C82" s="63"/>
      <c r="D82" s="63"/>
      <c r="E82" s="17"/>
    </row>
    <row r="83" spans="1:8" ht="27.75" customHeight="1" x14ac:dyDescent="0.25">
      <c r="A83" s="200" t="s">
        <v>354</v>
      </c>
      <c r="B83" s="72">
        <v>5</v>
      </c>
      <c r="C83" s="62">
        <f>Noter!F90</f>
        <v>-41776</v>
      </c>
      <c r="D83" s="62">
        <f>Noter!G90</f>
        <v>15000</v>
      </c>
      <c r="E83" s="227">
        <f>Noter!H90</f>
        <v>19300</v>
      </c>
    </row>
    <row r="84" spans="1:8" x14ac:dyDescent="0.25">
      <c r="A84" s="95"/>
      <c r="B84" s="9"/>
      <c r="C84" s="62"/>
      <c r="D84" s="62"/>
      <c r="E84" s="19"/>
    </row>
    <row r="85" spans="1:8" x14ac:dyDescent="0.25">
      <c r="A85" s="95"/>
      <c r="B85" s="9"/>
      <c r="C85" s="62"/>
      <c r="D85" s="62"/>
      <c r="E85" s="19"/>
    </row>
    <row r="86" spans="1:8" s="9" customFormat="1" ht="12.75" x14ac:dyDescent="0.2">
      <c r="A86" s="84" t="s">
        <v>27</v>
      </c>
      <c r="B86" s="72"/>
      <c r="C86" s="62"/>
      <c r="D86" s="62"/>
      <c r="E86" s="19"/>
      <c r="F86" s="7"/>
      <c r="G86" s="14"/>
      <c r="H86" s="8"/>
    </row>
    <row r="87" spans="1:8" x14ac:dyDescent="0.25">
      <c r="A87" s="94" t="s">
        <v>118</v>
      </c>
      <c r="B87" s="72">
        <v>6</v>
      </c>
      <c r="C87" s="63">
        <f>Noter!F110</f>
        <v>190208.03999999998</v>
      </c>
      <c r="D87" s="63">
        <f>Noter!G110</f>
        <v>140500</v>
      </c>
      <c r="E87" s="17">
        <f>Noter!H110</f>
        <v>90099.5</v>
      </c>
    </row>
    <row r="88" spans="1:8" x14ac:dyDescent="0.25">
      <c r="A88" s="94"/>
      <c r="B88" s="31"/>
      <c r="C88" s="63"/>
      <c r="D88" s="63"/>
      <c r="E88" s="17"/>
    </row>
    <row r="89" spans="1:8" s="9" customFormat="1" ht="12.75" x14ac:dyDescent="0.2">
      <c r="A89" s="87" t="s">
        <v>28</v>
      </c>
      <c r="B89" s="72">
        <v>7</v>
      </c>
      <c r="C89" s="63">
        <f>Noter!F122</f>
        <v>68805.119999999995</v>
      </c>
      <c r="D89" s="63">
        <f>Noter!G122</f>
        <v>79100</v>
      </c>
      <c r="E89" s="17">
        <f>Noter!H122</f>
        <v>108680.92</v>
      </c>
      <c r="F89" s="7"/>
      <c r="G89" s="14"/>
      <c r="H89" s="8"/>
    </row>
    <row r="90" spans="1:8" x14ac:dyDescent="0.25">
      <c r="A90" s="94"/>
      <c r="B90" s="31"/>
      <c r="C90" s="63"/>
      <c r="D90" s="63"/>
      <c r="E90" s="17"/>
    </row>
    <row r="91" spans="1:8" s="9" customFormat="1" ht="12.75" x14ac:dyDescent="0.2">
      <c r="A91" s="87" t="s">
        <v>29</v>
      </c>
      <c r="B91" s="72"/>
      <c r="C91" s="63"/>
      <c r="D91" s="63"/>
      <c r="E91" s="17"/>
      <c r="F91" s="10"/>
      <c r="G91" s="14"/>
      <c r="H91" s="8"/>
    </row>
    <row r="92" spans="1:8" s="9" customFormat="1" ht="12.75" x14ac:dyDescent="0.2">
      <c r="A92" s="94" t="s">
        <v>30</v>
      </c>
      <c r="B92" s="72"/>
      <c r="C92" s="63">
        <f>Saldobalanse!C53</f>
        <v>0</v>
      </c>
      <c r="D92" s="63">
        <f>Saldobalanse!D53</f>
        <v>0</v>
      </c>
      <c r="E92" s="17">
        <f>Saldobalanse!E53</f>
        <v>0</v>
      </c>
      <c r="F92" s="10"/>
      <c r="G92" s="14"/>
      <c r="H92" s="8"/>
    </row>
    <row r="93" spans="1:8" s="9" customFormat="1" ht="12.75" x14ac:dyDescent="0.2">
      <c r="A93" s="94" t="s">
        <v>31</v>
      </c>
      <c r="B93" s="72"/>
      <c r="C93" s="63">
        <f>Saldobalanse!C54</f>
        <v>0</v>
      </c>
      <c r="D93" s="63">
        <f>Saldobalanse!D54</f>
        <v>800</v>
      </c>
      <c r="E93" s="17">
        <f>Saldobalanse!E54</f>
        <v>585</v>
      </c>
      <c r="F93" s="10"/>
      <c r="G93" s="14"/>
      <c r="H93" s="8"/>
    </row>
    <row r="94" spans="1:8" x14ac:dyDescent="0.25">
      <c r="A94" s="84" t="s">
        <v>17</v>
      </c>
      <c r="B94" s="72"/>
      <c r="C94" s="62">
        <f t="shared" ref="C94:D94" si="2">SUM(C92:C93)</f>
        <v>0</v>
      </c>
      <c r="D94" s="62">
        <f t="shared" si="2"/>
        <v>800</v>
      </c>
      <c r="E94" s="19">
        <f>SUM(E92:E93)</f>
        <v>585</v>
      </c>
    </row>
    <row r="95" spans="1:8" x14ac:dyDescent="0.25">
      <c r="A95" s="94"/>
      <c r="B95" s="31"/>
      <c r="C95" s="63"/>
      <c r="D95" s="63"/>
      <c r="E95" s="17"/>
    </row>
    <row r="96" spans="1:8" x14ac:dyDescent="0.25">
      <c r="A96" s="84" t="s">
        <v>32</v>
      </c>
      <c r="B96" s="72"/>
      <c r="C96" s="62">
        <f>SUM(C83+C87+C89+C94)</f>
        <v>217237.15999999997</v>
      </c>
      <c r="D96" s="62">
        <f t="shared" ref="D96" si="3">SUM(D83+D87+D89+D94)</f>
        <v>235400</v>
      </c>
      <c r="E96" s="19">
        <f>SUM(E83+E87+E89+E94)</f>
        <v>218665.41999999998</v>
      </c>
    </row>
    <row r="97" spans="1:8" x14ac:dyDescent="0.25">
      <c r="A97" s="84"/>
      <c r="B97" s="72"/>
      <c r="C97" s="62"/>
      <c r="D97" s="62"/>
      <c r="E97" s="19"/>
    </row>
    <row r="98" spans="1:8" x14ac:dyDescent="0.25">
      <c r="A98" s="94"/>
      <c r="B98" s="31"/>
      <c r="C98" s="63"/>
      <c r="D98" s="63"/>
      <c r="E98" s="17"/>
    </row>
    <row r="99" spans="1:8" x14ac:dyDescent="0.25">
      <c r="A99" s="84" t="s">
        <v>33</v>
      </c>
      <c r="B99" s="31"/>
      <c r="C99" s="62">
        <f>SUM(C76-C96)</f>
        <v>2849658.48</v>
      </c>
      <c r="D99" s="62">
        <f ca="1">SUM(D76-D96)</f>
        <v>2813600</v>
      </c>
      <c r="E99" s="19">
        <f ca="1">SUM(E76-E96)</f>
        <v>-77000.34</v>
      </c>
    </row>
    <row r="100" spans="1:8" x14ac:dyDescent="0.25">
      <c r="A100" s="84"/>
      <c r="B100" s="31"/>
      <c r="C100" s="62"/>
      <c r="D100" s="62"/>
      <c r="E100" s="19"/>
    </row>
    <row r="101" spans="1:8" x14ac:dyDescent="0.25">
      <c r="A101" s="84"/>
      <c r="B101" s="31"/>
      <c r="C101" s="62"/>
      <c r="D101" s="62"/>
      <c r="E101" s="19"/>
    </row>
    <row r="102" spans="1:8" s="9" customFormat="1" ht="12.75" x14ac:dyDescent="0.2">
      <c r="A102" s="207"/>
      <c r="B102" s="208"/>
      <c r="C102" s="209"/>
      <c r="D102" s="209"/>
      <c r="E102" s="210"/>
      <c r="F102" s="7"/>
      <c r="G102" s="14"/>
      <c r="H102" s="8"/>
    </row>
    <row r="103" spans="1:8" x14ac:dyDescent="0.25">
      <c r="A103" s="90"/>
      <c r="B103" s="92"/>
      <c r="C103" s="92"/>
      <c r="D103" s="91"/>
      <c r="E103" s="93" t="s">
        <v>24</v>
      </c>
    </row>
    <row r="104" spans="1:8" ht="20.25" x14ac:dyDescent="0.3">
      <c r="A104" s="262" t="s">
        <v>36</v>
      </c>
      <c r="B104" s="263"/>
      <c r="C104" s="263"/>
      <c r="D104" s="263"/>
      <c r="E104" s="264"/>
    </row>
    <row r="105" spans="1:8" x14ac:dyDescent="0.25">
      <c r="A105" s="211" t="s">
        <v>35</v>
      </c>
      <c r="B105" s="212"/>
      <c r="C105" s="204" t="s">
        <v>49</v>
      </c>
      <c r="D105" s="213" t="s">
        <v>158</v>
      </c>
      <c r="E105" s="102" t="s">
        <v>153</v>
      </c>
    </row>
    <row r="106" spans="1:8" x14ac:dyDescent="0.25">
      <c r="A106" s="94"/>
      <c r="B106" s="97"/>
      <c r="D106" s="32"/>
      <c r="E106" s="86"/>
    </row>
    <row r="107" spans="1:8" x14ac:dyDescent="0.25">
      <c r="A107" s="84" t="s">
        <v>37</v>
      </c>
      <c r="B107" s="97"/>
      <c r="D107" s="20"/>
      <c r="E107" s="21"/>
    </row>
    <row r="108" spans="1:8" x14ac:dyDescent="0.25">
      <c r="A108" s="69"/>
      <c r="B108" s="97"/>
      <c r="D108" s="20"/>
      <c r="E108" s="21"/>
    </row>
    <row r="109" spans="1:8" x14ac:dyDescent="0.25">
      <c r="A109" s="84" t="s">
        <v>38</v>
      </c>
      <c r="B109" s="31"/>
      <c r="C109" s="32"/>
      <c r="D109" s="63"/>
      <c r="E109" s="17"/>
    </row>
    <row r="110" spans="1:8" x14ac:dyDescent="0.25">
      <c r="A110" s="94" t="s">
        <v>8</v>
      </c>
      <c r="B110" s="31"/>
      <c r="C110" s="31"/>
      <c r="D110" s="63">
        <f>Saldobalanse!C2</f>
        <v>0</v>
      </c>
      <c r="E110" s="17">
        <f>Saldobalanse!D2</f>
        <v>0</v>
      </c>
    </row>
    <row r="111" spans="1:8" x14ac:dyDescent="0.25">
      <c r="A111" s="94" t="s">
        <v>127</v>
      </c>
      <c r="B111" s="31"/>
      <c r="C111" s="31"/>
      <c r="D111" s="63">
        <f>SUM(Saldobalanse!C3)</f>
        <v>14120</v>
      </c>
      <c r="E111" s="17">
        <f>SUM(Saldobalanse!E3)</f>
        <v>14360</v>
      </c>
    </row>
    <row r="112" spans="1:8" x14ac:dyDescent="0.25">
      <c r="A112" s="84" t="s">
        <v>39</v>
      </c>
      <c r="B112" s="72"/>
      <c r="C112" s="72"/>
      <c r="D112" s="18">
        <f>SUM(D110:D111)</f>
        <v>14120</v>
      </c>
      <c r="E112" s="64">
        <f>SUM(E110:E111)</f>
        <v>14360</v>
      </c>
    </row>
    <row r="113" spans="1:5" x14ac:dyDescent="0.25">
      <c r="A113" s="94"/>
      <c r="B113" s="31"/>
      <c r="C113" s="31"/>
      <c r="D113" s="63"/>
      <c r="E113" s="17"/>
    </row>
    <row r="114" spans="1:5" x14ac:dyDescent="0.25">
      <c r="A114" s="94"/>
      <c r="B114" s="31"/>
      <c r="C114" s="31"/>
      <c r="D114" s="63"/>
      <c r="E114" s="17"/>
    </row>
    <row r="115" spans="1:5" x14ac:dyDescent="0.25">
      <c r="A115" s="84" t="s">
        <v>131</v>
      </c>
      <c r="E115" s="89"/>
    </row>
    <row r="116" spans="1:5" x14ac:dyDescent="0.25">
      <c r="A116" s="69" t="s">
        <v>131</v>
      </c>
      <c r="B116" s="31"/>
      <c r="C116" s="31"/>
      <c r="D116" s="63">
        <f>SUM(Saldobalanse!C4:C7)</f>
        <v>3434521.02</v>
      </c>
      <c r="E116" s="17">
        <f>SUM(Saldobalanse!E4:E7)</f>
        <v>711335.91</v>
      </c>
    </row>
    <row r="117" spans="1:5" x14ac:dyDescent="0.25">
      <c r="A117" s="84" t="s">
        <v>132</v>
      </c>
      <c r="B117" s="31"/>
      <c r="C117" s="31"/>
      <c r="D117" s="18">
        <f>SUM(D116:D116)</f>
        <v>3434521.02</v>
      </c>
      <c r="E117" s="64">
        <f>SUM(E116:E116)</f>
        <v>711335.91</v>
      </c>
    </row>
    <row r="118" spans="1:5" x14ac:dyDescent="0.25">
      <c r="A118" s="84"/>
      <c r="B118" s="31"/>
      <c r="C118" s="31"/>
      <c r="D118" s="62"/>
      <c r="E118" s="19"/>
    </row>
    <row r="119" spans="1:5" x14ac:dyDescent="0.25">
      <c r="A119" s="84"/>
      <c r="B119" s="31"/>
      <c r="C119" s="31"/>
      <c r="D119" s="62"/>
      <c r="E119" s="19"/>
    </row>
    <row r="120" spans="1:5" x14ac:dyDescent="0.25">
      <c r="A120" s="84" t="s">
        <v>40</v>
      </c>
      <c r="B120" s="31"/>
      <c r="C120" s="31"/>
      <c r="D120" s="18">
        <f>SUM(D112+D117)</f>
        <v>3448641.02</v>
      </c>
      <c r="E120" s="64">
        <f>SUM(E112+E117)</f>
        <v>725695.91</v>
      </c>
    </row>
    <row r="121" spans="1:5" x14ac:dyDescent="0.25">
      <c r="A121" s="84"/>
      <c r="B121" s="31"/>
      <c r="C121" s="31"/>
      <c r="D121" s="63"/>
      <c r="E121" s="17"/>
    </row>
    <row r="122" spans="1:5" ht="15.75" thickBot="1" x14ac:dyDescent="0.3">
      <c r="A122" s="84" t="s">
        <v>41</v>
      </c>
      <c r="B122" s="31"/>
      <c r="C122" s="31"/>
      <c r="D122" s="22">
        <f>SUM(D120)</f>
        <v>3448641.02</v>
      </c>
      <c r="E122" s="23">
        <f>SUM(E120)</f>
        <v>725695.91</v>
      </c>
    </row>
    <row r="123" spans="1:5" ht="15.75" thickTop="1" x14ac:dyDescent="0.25">
      <c r="A123" s="69"/>
      <c r="E123" s="89"/>
    </row>
    <row r="124" spans="1:5" x14ac:dyDescent="0.25">
      <c r="A124" s="69"/>
      <c r="E124" s="89"/>
    </row>
    <row r="125" spans="1:5" x14ac:dyDescent="0.25">
      <c r="A125" s="69"/>
      <c r="E125" s="89"/>
    </row>
    <row r="126" spans="1:5" x14ac:dyDescent="0.25">
      <c r="A126" s="84" t="s">
        <v>42</v>
      </c>
      <c r="B126" s="72"/>
      <c r="C126" s="72"/>
      <c r="D126" s="61" t="s">
        <v>158</v>
      </c>
      <c r="E126" s="96" t="s">
        <v>153</v>
      </c>
    </row>
    <row r="127" spans="1:5" x14ac:dyDescent="0.25">
      <c r="A127" s="94"/>
      <c r="B127" s="31"/>
      <c r="C127" s="31"/>
      <c r="D127" s="32"/>
      <c r="E127" s="86"/>
    </row>
    <row r="128" spans="1:5" x14ac:dyDescent="0.25">
      <c r="A128" s="94"/>
      <c r="B128" s="31"/>
      <c r="C128" s="31"/>
      <c r="D128" s="63"/>
      <c r="E128" s="17"/>
    </row>
    <row r="129" spans="1:6" x14ac:dyDescent="0.25">
      <c r="A129" s="94" t="s">
        <v>43</v>
      </c>
      <c r="B129" s="31"/>
      <c r="C129" s="31">
        <v>8</v>
      </c>
      <c r="D129" s="63">
        <f>SUM(Saldobalanse!C8)*-1</f>
        <v>3448641.02</v>
      </c>
      <c r="E129" s="17">
        <f>SUM(Saldobalanse!E8*-1)</f>
        <v>598982.54</v>
      </c>
    </row>
    <row r="130" spans="1:6" x14ac:dyDescent="0.25">
      <c r="A130" s="94" t="s">
        <v>44</v>
      </c>
      <c r="B130" s="31"/>
      <c r="C130" s="31"/>
      <c r="D130" s="18">
        <f>SUM(D129:D129)</f>
        <v>3448641.02</v>
      </c>
      <c r="E130" s="64">
        <f>SUM(E128:E129)</f>
        <v>598982.54</v>
      </c>
    </row>
    <row r="131" spans="1:6" x14ac:dyDescent="0.25">
      <c r="A131" s="94"/>
      <c r="B131" s="31"/>
      <c r="C131" s="31"/>
      <c r="D131" s="63"/>
      <c r="E131" s="17"/>
    </row>
    <row r="132" spans="1:6" x14ac:dyDescent="0.25">
      <c r="A132" s="94"/>
      <c r="B132" s="31"/>
      <c r="C132" s="31"/>
      <c r="D132" s="63"/>
      <c r="E132" s="17"/>
    </row>
    <row r="133" spans="1:6" x14ac:dyDescent="0.25">
      <c r="A133" s="94"/>
      <c r="B133" s="31"/>
      <c r="C133" s="31"/>
      <c r="D133" s="63"/>
      <c r="E133" s="17"/>
    </row>
    <row r="134" spans="1:6" x14ac:dyDescent="0.25">
      <c r="A134" s="84" t="s">
        <v>45</v>
      </c>
      <c r="B134" s="31"/>
      <c r="C134" s="31">
        <v>9</v>
      </c>
      <c r="D134" s="63"/>
      <c r="E134" s="17"/>
    </row>
    <row r="135" spans="1:6" x14ac:dyDescent="0.25">
      <c r="A135" s="94" t="s">
        <v>1</v>
      </c>
      <c r="B135" s="31"/>
      <c r="C135" s="31"/>
      <c r="D135" s="63">
        <f>SUM(Saldobalanse!C9)</f>
        <v>0</v>
      </c>
      <c r="E135" s="17">
        <f>SUM(Saldobalanse!E9)</f>
        <v>0</v>
      </c>
    </row>
    <row r="136" spans="1:6" x14ac:dyDescent="0.25">
      <c r="A136" s="94" t="s">
        <v>46</v>
      </c>
      <c r="B136" s="31"/>
      <c r="C136" s="31"/>
      <c r="D136" s="63">
        <f>SUM(Saldobalanse!C10:C11)*-1</f>
        <v>0</v>
      </c>
      <c r="E136" s="17">
        <f>SUM(Saldobalanse!E10:E11)*-1</f>
        <v>126713.37</v>
      </c>
    </row>
    <row r="137" spans="1:6" x14ac:dyDescent="0.25">
      <c r="A137" s="84" t="s">
        <v>47</v>
      </c>
      <c r="B137" s="31"/>
      <c r="C137" s="72"/>
      <c r="D137" s="18">
        <f>SUM(D135:D136)</f>
        <v>0</v>
      </c>
      <c r="E137" s="64">
        <f>SUM(E135:E136)</f>
        <v>126713.37</v>
      </c>
    </row>
    <row r="138" spans="1:6" x14ac:dyDescent="0.25">
      <c r="A138" s="84"/>
      <c r="B138" s="72"/>
      <c r="C138" s="72"/>
      <c r="D138" s="62"/>
      <c r="E138" s="19"/>
    </row>
    <row r="139" spans="1:6" x14ac:dyDescent="0.25">
      <c r="A139" s="84" t="s">
        <v>48</v>
      </c>
      <c r="B139" s="72"/>
      <c r="C139" s="72"/>
      <c r="D139" s="18">
        <f>SUM(D137:D138)</f>
        <v>0</v>
      </c>
      <c r="E139" s="64">
        <f>SUM(E137:E138)</f>
        <v>126713.37</v>
      </c>
    </row>
    <row r="140" spans="1:6" x14ac:dyDescent="0.25">
      <c r="A140" s="94"/>
      <c r="B140" s="31"/>
      <c r="C140" s="31"/>
      <c r="D140" s="63"/>
      <c r="E140" s="17"/>
      <c r="F140"/>
    </row>
    <row r="141" spans="1:6" ht="15.75" thickBot="1" x14ac:dyDescent="0.3">
      <c r="A141" s="84" t="s">
        <v>52</v>
      </c>
      <c r="B141" s="31"/>
      <c r="C141" s="31"/>
      <c r="D141" s="22">
        <f>SUM(D130+D139)</f>
        <v>3448641.02</v>
      </c>
      <c r="E141" s="23">
        <f>SUM(E130+E139)</f>
        <v>725695.91</v>
      </c>
      <c r="F141" s="13"/>
    </row>
    <row r="142" spans="1:6" ht="15.75" thickTop="1" x14ac:dyDescent="0.25">
      <c r="A142" s="94"/>
      <c r="D142" s="20"/>
      <c r="E142" s="21"/>
      <c r="F142"/>
    </row>
    <row r="143" spans="1:6" x14ac:dyDescent="0.25">
      <c r="A143" s="69" t="s">
        <v>473</v>
      </c>
      <c r="E143" s="260"/>
      <c r="F143"/>
    </row>
    <row r="144" spans="1:6" x14ac:dyDescent="0.25">
      <c r="E144" s="260"/>
      <c r="F144"/>
    </row>
    <row r="145" spans="1:6" x14ac:dyDescent="0.25">
      <c r="A145" s="69" t="s">
        <v>289</v>
      </c>
      <c r="B145" t="s">
        <v>466</v>
      </c>
      <c r="D145" t="s">
        <v>468</v>
      </c>
      <c r="E145" s="260"/>
      <c r="F145"/>
    </row>
    <row r="146" spans="1:6" x14ac:dyDescent="0.25">
      <c r="A146" s="69" t="s">
        <v>357</v>
      </c>
      <c r="B146" t="s">
        <v>358</v>
      </c>
      <c r="D146" t="s">
        <v>358</v>
      </c>
      <c r="E146" s="260"/>
      <c r="F146"/>
    </row>
    <row r="147" spans="1:6" x14ac:dyDescent="0.25">
      <c r="A147" s="69"/>
      <c r="C147" s="31"/>
      <c r="E147" s="260"/>
      <c r="F147"/>
    </row>
    <row r="148" spans="1:6" x14ac:dyDescent="0.25">
      <c r="A148" s="69" t="s">
        <v>471</v>
      </c>
      <c r="C148" s="31"/>
      <c r="E148" s="260"/>
      <c r="F148"/>
    </row>
    <row r="149" spans="1:6" x14ac:dyDescent="0.25">
      <c r="A149" s="69" t="s">
        <v>358</v>
      </c>
      <c r="E149" s="89"/>
      <c r="F149"/>
    </row>
    <row r="150" spans="1:6" x14ac:dyDescent="0.25">
      <c r="A150" s="69"/>
      <c r="E150" s="89"/>
      <c r="F150"/>
    </row>
    <row r="151" spans="1:6" x14ac:dyDescent="0.25">
      <c r="A151" s="214"/>
      <c r="B151" s="115"/>
      <c r="C151" s="115"/>
      <c r="D151" s="215"/>
      <c r="E151" s="116"/>
      <c r="F151"/>
    </row>
    <row r="152" spans="1:6" x14ac:dyDescent="0.25">
      <c r="A152" s="90"/>
      <c r="B152" s="92"/>
      <c r="C152" s="92"/>
      <c r="D152" s="91"/>
      <c r="E152" s="93" t="s">
        <v>34</v>
      </c>
    </row>
    <row r="186" spans="6:6" x14ac:dyDescent="0.25">
      <c r="F186" s="13"/>
    </row>
    <row r="187" spans="6:6" x14ac:dyDescent="0.25">
      <c r="F187" s="13"/>
    </row>
    <row r="188" spans="6:6" x14ac:dyDescent="0.25">
      <c r="F188" s="13"/>
    </row>
    <row r="189" spans="6:6" x14ac:dyDescent="0.25">
      <c r="F189" s="13"/>
    </row>
  </sheetData>
  <mergeCells count="5">
    <mergeCell ref="A8:E8"/>
    <mergeCell ref="A47:E47"/>
    <mergeCell ref="A104:E104"/>
    <mergeCell ref="A13:E13"/>
    <mergeCell ref="A15:E1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9"/>
  <sheetViews>
    <sheetView topLeftCell="A115" workbookViewId="0">
      <selection activeCell="D47" sqref="D47"/>
    </sheetView>
  </sheetViews>
  <sheetFormatPr baseColWidth="10" defaultRowHeight="15" x14ac:dyDescent="0.25"/>
  <cols>
    <col min="2" max="2" width="10.5703125" customWidth="1"/>
    <col min="4" max="4" width="10" customWidth="1"/>
    <col min="5" max="5" width="10.5703125" customWidth="1"/>
    <col min="6" max="6" width="10.42578125" customWidth="1"/>
    <col min="7" max="7" width="11" customWidth="1"/>
    <col min="8" max="8" width="12.85546875" customWidth="1"/>
    <col min="9" max="9" width="12.140625" bestFit="1" customWidth="1"/>
  </cols>
  <sheetData>
    <row r="1" spans="1:8" ht="20.25" x14ac:dyDescent="0.3">
      <c r="A1" s="266" t="s">
        <v>349</v>
      </c>
      <c r="B1" s="267"/>
      <c r="C1" s="267"/>
      <c r="D1" s="267"/>
      <c r="E1" s="267"/>
      <c r="F1" s="267"/>
      <c r="G1" s="267"/>
      <c r="H1" s="268"/>
    </row>
    <row r="2" spans="1:8" ht="15.75" x14ac:dyDescent="0.25">
      <c r="A2" s="269" t="s">
        <v>350</v>
      </c>
      <c r="B2" s="270"/>
      <c r="C2" s="270"/>
      <c r="D2" s="270"/>
      <c r="E2" s="270"/>
      <c r="F2" s="270"/>
      <c r="G2" s="270"/>
      <c r="H2" s="271"/>
    </row>
    <row r="3" spans="1:8" x14ac:dyDescent="0.25">
      <c r="A3" s="99"/>
      <c r="B3" s="244"/>
      <c r="C3" s="244"/>
      <c r="D3" s="244"/>
      <c r="E3" s="244"/>
      <c r="F3" s="244"/>
      <c r="G3" s="244"/>
      <c r="H3" s="89"/>
    </row>
    <row r="4" spans="1:8" x14ac:dyDescent="0.25">
      <c r="A4" s="84" t="s">
        <v>75</v>
      </c>
      <c r="B4" s="32"/>
      <c r="C4" s="32"/>
      <c r="D4" s="32"/>
      <c r="E4" s="32"/>
      <c r="F4" s="32"/>
      <c r="G4" s="32"/>
      <c r="H4" s="89"/>
    </row>
    <row r="5" spans="1:8" x14ac:dyDescent="0.25">
      <c r="A5" s="94"/>
      <c r="B5" s="32"/>
      <c r="C5" s="32"/>
      <c r="D5" s="32"/>
      <c r="E5" s="32"/>
      <c r="F5" s="32"/>
      <c r="G5" s="32"/>
      <c r="H5" s="89"/>
    </row>
    <row r="6" spans="1:8" x14ac:dyDescent="0.25">
      <c r="A6" s="94" t="s">
        <v>76</v>
      </c>
      <c r="B6" s="32"/>
      <c r="C6" s="32"/>
      <c r="D6" s="32"/>
      <c r="E6" s="32"/>
      <c r="F6" s="32"/>
      <c r="G6" s="32"/>
      <c r="H6" s="89"/>
    </row>
    <row r="7" spans="1:8" x14ac:dyDescent="0.25">
      <c r="A7" s="94"/>
      <c r="B7" s="32"/>
      <c r="C7" s="32"/>
      <c r="D7" s="32"/>
      <c r="E7" s="32"/>
      <c r="F7" s="32"/>
      <c r="G7" s="32"/>
      <c r="H7" s="89"/>
    </row>
    <row r="8" spans="1:8" x14ac:dyDescent="0.25">
      <c r="A8" s="101" t="s">
        <v>51</v>
      </c>
      <c r="B8" s="32"/>
      <c r="C8" s="32"/>
      <c r="D8" s="32"/>
      <c r="E8" s="32"/>
      <c r="F8" s="32"/>
      <c r="G8" s="32"/>
      <c r="H8" s="89"/>
    </row>
    <row r="9" spans="1:8" x14ac:dyDescent="0.25">
      <c r="A9" s="94" t="s">
        <v>77</v>
      </c>
      <c r="B9" s="32"/>
      <c r="C9" s="32"/>
      <c r="D9" s="32"/>
      <c r="E9" s="32"/>
      <c r="F9" s="32"/>
      <c r="G9" s="32"/>
      <c r="H9" s="89"/>
    </row>
    <row r="10" spans="1:8" x14ac:dyDescent="0.25">
      <c r="A10" s="94" t="s">
        <v>78</v>
      </c>
      <c r="B10" s="32"/>
      <c r="C10" s="32"/>
      <c r="D10" s="32"/>
      <c r="E10" s="32"/>
      <c r="F10" s="32"/>
      <c r="G10" s="32"/>
      <c r="H10" s="89"/>
    </row>
    <row r="11" spans="1:8" x14ac:dyDescent="0.25">
      <c r="A11" s="94" t="s">
        <v>79</v>
      </c>
      <c r="B11" s="32"/>
      <c r="C11" s="32"/>
      <c r="D11" s="32"/>
      <c r="E11" s="32"/>
      <c r="F11" s="32"/>
      <c r="G11" s="32"/>
      <c r="H11" s="89"/>
    </row>
    <row r="12" spans="1:8" x14ac:dyDescent="0.25">
      <c r="A12" s="94" t="s">
        <v>80</v>
      </c>
      <c r="B12" s="32"/>
      <c r="C12" s="32"/>
      <c r="D12" s="32"/>
      <c r="E12" s="32"/>
      <c r="F12" s="32"/>
      <c r="G12" s="32"/>
      <c r="H12" s="89"/>
    </row>
    <row r="13" spans="1:8" x14ac:dyDescent="0.25">
      <c r="A13" s="94" t="s">
        <v>81</v>
      </c>
      <c r="B13" s="32"/>
      <c r="C13" s="32"/>
      <c r="D13" s="32"/>
      <c r="E13" s="32"/>
      <c r="F13" s="32"/>
      <c r="G13" s="32"/>
      <c r="H13" s="89"/>
    </row>
    <row r="14" spans="1:8" x14ac:dyDescent="0.25">
      <c r="A14" s="94" t="s">
        <v>82</v>
      </c>
      <c r="B14" s="32"/>
      <c r="C14" s="32"/>
      <c r="D14" s="32"/>
      <c r="E14" s="32"/>
      <c r="F14" s="32"/>
      <c r="G14" s="32"/>
      <c r="H14" s="89"/>
    </row>
    <row r="15" spans="1:8" x14ac:dyDescent="0.25">
      <c r="A15" s="94" t="s">
        <v>83</v>
      </c>
      <c r="B15" s="32"/>
      <c r="C15" s="32"/>
      <c r="D15" s="32"/>
      <c r="E15" s="32"/>
      <c r="F15" s="32"/>
      <c r="G15" s="32"/>
      <c r="H15" s="89"/>
    </row>
    <row r="16" spans="1:8" x14ac:dyDescent="0.25">
      <c r="A16" s="94"/>
      <c r="B16" s="32"/>
      <c r="C16" s="32"/>
      <c r="D16" s="32"/>
      <c r="E16" s="32"/>
      <c r="F16" s="32"/>
      <c r="G16" s="32"/>
      <c r="H16" s="89"/>
    </row>
    <row r="17" spans="1:8" x14ac:dyDescent="0.25">
      <c r="A17" s="101" t="s">
        <v>84</v>
      </c>
      <c r="B17" s="32"/>
      <c r="C17" s="32"/>
      <c r="D17" s="32"/>
      <c r="E17" s="32"/>
      <c r="F17" s="32"/>
      <c r="G17" s="32"/>
      <c r="H17" s="89"/>
    </row>
    <row r="18" spans="1:8" x14ac:dyDescent="0.25">
      <c r="A18" s="94" t="s">
        <v>85</v>
      </c>
      <c r="B18" s="32"/>
      <c r="C18" s="32"/>
      <c r="D18" s="32"/>
      <c r="E18" s="32"/>
      <c r="F18" s="32"/>
      <c r="G18" s="32"/>
      <c r="H18" s="89"/>
    </row>
    <row r="19" spans="1:8" x14ac:dyDescent="0.25">
      <c r="A19" s="94" t="s">
        <v>86</v>
      </c>
      <c r="B19" s="32"/>
      <c r="C19" s="32"/>
      <c r="D19" s="32"/>
      <c r="E19" s="32"/>
      <c r="F19" s="32"/>
      <c r="G19" s="32"/>
      <c r="H19" s="89"/>
    </row>
    <row r="20" spans="1:8" x14ac:dyDescent="0.25">
      <c r="A20" s="94" t="s">
        <v>87</v>
      </c>
      <c r="B20" s="32"/>
      <c r="C20" s="32"/>
      <c r="D20" s="32"/>
      <c r="E20" s="32"/>
      <c r="F20" s="32"/>
      <c r="G20" s="32"/>
      <c r="H20" s="89"/>
    </row>
    <row r="21" spans="1:8" x14ac:dyDescent="0.25">
      <c r="A21" s="94" t="s">
        <v>88</v>
      </c>
      <c r="B21" s="32"/>
      <c r="C21" s="32"/>
      <c r="D21" s="32"/>
      <c r="E21" s="32"/>
      <c r="F21" s="32"/>
      <c r="G21" s="32"/>
      <c r="H21" s="89"/>
    </row>
    <row r="22" spans="1:8" x14ac:dyDescent="0.25">
      <c r="A22" s="94"/>
      <c r="B22" s="32"/>
      <c r="C22" s="32"/>
      <c r="D22" s="32"/>
      <c r="E22" s="32"/>
      <c r="F22" s="32"/>
      <c r="G22" s="32"/>
      <c r="H22" s="89"/>
    </row>
    <row r="23" spans="1:8" x14ac:dyDescent="0.25">
      <c r="A23" s="94" t="s">
        <v>89</v>
      </c>
      <c r="B23" s="32"/>
      <c r="C23" s="32"/>
      <c r="D23" s="32"/>
      <c r="E23" s="32"/>
      <c r="F23" s="32"/>
      <c r="G23" s="32"/>
      <c r="H23" s="89"/>
    </row>
    <row r="24" spans="1:8" x14ac:dyDescent="0.25">
      <c r="A24" s="94" t="s">
        <v>90</v>
      </c>
      <c r="B24" s="32"/>
      <c r="C24" s="32"/>
      <c r="D24" s="32"/>
      <c r="E24" s="32"/>
      <c r="F24" s="32"/>
      <c r="G24" s="32"/>
      <c r="H24" s="89"/>
    </row>
    <row r="25" spans="1:8" x14ac:dyDescent="0.25">
      <c r="A25" s="94" t="s">
        <v>91</v>
      </c>
      <c r="B25" s="32"/>
      <c r="C25" s="32"/>
      <c r="D25" s="32"/>
      <c r="E25" s="32"/>
      <c r="F25" s="32"/>
      <c r="G25" s="32"/>
      <c r="H25" s="89"/>
    </row>
    <row r="26" spans="1:8" x14ac:dyDescent="0.25">
      <c r="A26" s="94" t="s">
        <v>92</v>
      </c>
      <c r="B26" s="32"/>
      <c r="C26" s="32"/>
      <c r="D26" s="32"/>
      <c r="E26" s="32"/>
      <c r="F26" s="32"/>
      <c r="G26" s="32"/>
      <c r="H26" s="89"/>
    </row>
    <row r="27" spans="1:8" x14ac:dyDescent="0.25">
      <c r="A27" s="94" t="s">
        <v>93</v>
      </c>
      <c r="B27" s="32"/>
      <c r="C27" s="32"/>
      <c r="D27" s="32"/>
      <c r="E27" s="32"/>
      <c r="F27" s="32"/>
      <c r="G27" s="32"/>
      <c r="H27" s="89"/>
    </row>
    <row r="28" spans="1:8" x14ac:dyDescent="0.25">
      <c r="A28" s="94"/>
      <c r="B28" s="32"/>
      <c r="C28" s="32"/>
      <c r="D28" s="32"/>
      <c r="E28" s="32"/>
      <c r="F28" s="32"/>
      <c r="G28" s="32"/>
      <c r="H28" s="89"/>
    </row>
    <row r="29" spans="1:8" x14ac:dyDescent="0.25">
      <c r="A29" s="101" t="s">
        <v>94</v>
      </c>
      <c r="B29" s="32"/>
      <c r="C29" s="32"/>
      <c r="D29" s="32"/>
      <c r="E29" s="32"/>
      <c r="F29" s="32"/>
      <c r="G29" s="32"/>
      <c r="H29" s="89"/>
    </row>
    <row r="30" spans="1:8" x14ac:dyDescent="0.25">
      <c r="A30" s="94" t="s">
        <v>95</v>
      </c>
      <c r="B30" s="32"/>
      <c r="C30" s="32"/>
      <c r="D30" s="32"/>
      <c r="E30" s="32"/>
      <c r="F30" s="32"/>
      <c r="G30" s="32"/>
      <c r="H30" s="89"/>
    </row>
    <row r="31" spans="1:8" x14ac:dyDescent="0.25">
      <c r="A31" s="94" t="s">
        <v>96</v>
      </c>
      <c r="B31" s="32"/>
      <c r="C31" s="32"/>
      <c r="D31" s="32"/>
      <c r="E31" s="32"/>
      <c r="F31" s="32"/>
      <c r="G31" s="32"/>
      <c r="H31" s="89"/>
    </row>
    <row r="32" spans="1:8" x14ac:dyDescent="0.25">
      <c r="A32" s="94"/>
      <c r="B32" s="32"/>
      <c r="C32" s="32"/>
      <c r="D32" s="32"/>
      <c r="E32" s="32"/>
      <c r="F32" s="32"/>
      <c r="G32" s="32"/>
      <c r="H32" s="89"/>
    </row>
    <row r="33" spans="1:8" x14ac:dyDescent="0.25">
      <c r="A33" s="101" t="s">
        <v>138</v>
      </c>
      <c r="B33" s="32"/>
      <c r="C33" s="32"/>
      <c r="D33" s="32"/>
      <c r="E33" s="32"/>
      <c r="F33" s="32"/>
      <c r="G33" s="32"/>
      <c r="H33" s="89"/>
    </row>
    <row r="34" spans="1:8" x14ac:dyDescent="0.25">
      <c r="A34" s="94" t="s">
        <v>139</v>
      </c>
      <c r="B34" s="32"/>
      <c r="C34" s="32"/>
      <c r="D34" s="32"/>
      <c r="E34" s="32"/>
      <c r="F34" s="32"/>
      <c r="G34" s="32"/>
      <c r="H34" s="89"/>
    </row>
    <row r="35" spans="1:8" x14ac:dyDescent="0.25">
      <c r="A35" s="94" t="s">
        <v>140</v>
      </c>
      <c r="B35" s="32"/>
      <c r="C35" s="32"/>
      <c r="D35" s="32"/>
      <c r="E35" s="32"/>
      <c r="F35" s="32"/>
      <c r="G35" s="32"/>
      <c r="H35" s="89"/>
    </row>
    <row r="36" spans="1:8" x14ac:dyDescent="0.25">
      <c r="A36" s="94" t="s">
        <v>141</v>
      </c>
      <c r="B36" s="32"/>
      <c r="C36" s="32"/>
      <c r="D36" s="32"/>
      <c r="E36" s="31"/>
      <c r="F36" s="31"/>
      <c r="G36" s="32"/>
      <c r="H36" s="89"/>
    </row>
    <row r="37" spans="1:8" x14ac:dyDescent="0.25">
      <c r="A37" s="94"/>
      <c r="B37" s="32"/>
      <c r="C37" s="32"/>
      <c r="D37" s="32"/>
      <c r="E37" s="251"/>
      <c r="F37" s="251"/>
      <c r="G37" s="32"/>
      <c r="H37" s="89"/>
    </row>
    <row r="38" spans="1:8" x14ac:dyDescent="0.25">
      <c r="A38" s="94"/>
      <c r="B38" s="32"/>
      <c r="C38" s="32"/>
      <c r="D38" s="32"/>
      <c r="E38" s="251"/>
      <c r="F38" s="251"/>
      <c r="G38" s="32"/>
      <c r="H38" s="89"/>
    </row>
    <row r="39" spans="1:8" x14ac:dyDescent="0.25">
      <c r="A39" s="87" t="s">
        <v>97</v>
      </c>
      <c r="B39" s="32"/>
      <c r="C39" s="32"/>
      <c r="D39" s="32"/>
      <c r="E39" s="251"/>
      <c r="F39" s="251"/>
      <c r="G39" s="32"/>
      <c r="H39" s="89"/>
    </row>
    <row r="40" spans="1:8" x14ac:dyDescent="0.25">
      <c r="A40" s="94"/>
      <c r="B40" s="32"/>
      <c r="C40" s="32"/>
      <c r="D40" s="32"/>
      <c r="E40" s="251"/>
      <c r="F40" s="251"/>
      <c r="G40" s="32"/>
      <c r="H40" s="89"/>
    </row>
    <row r="41" spans="1:8" x14ac:dyDescent="0.25">
      <c r="A41" s="94" t="s">
        <v>437</v>
      </c>
      <c r="B41" s="32"/>
      <c r="C41" s="32"/>
      <c r="D41" s="32"/>
      <c r="E41" s="251"/>
      <c r="F41" s="251"/>
      <c r="G41" s="32"/>
      <c r="H41" s="89"/>
    </row>
    <row r="42" spans="1:8" x14ac:dyDescent="0.25">
      <c r="A42" s="82"/>
      <c r="B42" s="32"/>
      <c r="C42" s="32"/>
      <c r="D42" s="32"/>
      <c r="E42" s="251"/>
      <c r="F42" s="251"/>
      <c r="G42" s="32"/>
      <c r="H42" s="89"/>
    </row>
    <row r="43" spans="1:8" ht="25.5" x14ac:dyDescent="0.25">
      <c r="A43" s="94"/>
      <c r="B43" s="32"/>
      <c r="C43" s="32"/>
      <c r="D43" s="32"/>
      <c r="F43" s="255" t="s">
        <v>344</v>
      </c>
      <c r="G43" s="255" t="s">
        <v>207</v>
      </c>
      <c r="H43" s="221" t="s">
        <v>155</v>
      </c>
    </row>
    <row r="44" spans="1:8" x14ac:dyDescent="0.25">
      <c r="A44" s="94" t="s">
        <v>456</v>
      </c>
      <c r="B44" s="32"/>
      <c r="C44" s="32"/>
      <c r="D44" s="32"/>
      <c r="F44" s="251">
        <f>Saldobalanse!C28</f>
        <v>16700</v>
      </c>
      <c r="G44" s="251">
        <f>Saldobalanse!D28</f>
        <v>14000</v>
      </c>
      <c r="H44" s="41">
        <f>Saldobalanse!E28</f>
        <v>13300</v>
      </c>
    </row>
    <row r="45" spans="1:8" x14ac:dyDescent="0.25">
      <c r="A45" s="222"/>
      <c r="B45" s="256"/>
      <c r="C45" s="256"/>
      <c r="D45" s="256"/>
      <c r="E45" s="256"/>
      <c r="F45" s="256"/>
      <c r="G45" s="256"/>
      <c r="H45" s="223"/>
    </row>
    <row r="46" spans="1:8" x14ac:dyDescent="0.25">
      <c r="A46" s="94" t="s">
        <v>361</v>
      </c>
      <c r="B46" s="256"/>
      <c r="C46" s="256"/>
      <c r="D46" s="256"/>
      <c r="E46" s="256"/>
      <c r="F46" s="256"/>
      <c r="G46" s="256"/>
      <c r="H46" s="89"/>
    </row>
    <row r="47" spans="1:8" x14ac:dyDescent="0.25">
      <c r="A47" s="99"/>
      <c r="B47" s="244"/>
      <c r="C47" s="244"/>
      <c r="D47" s="244"/>
      <c r="E47" s="244"/>
      <c r="F47" s="244"/>
      <c r="G47" s="244"/>
      <c r="H47" s="89"/>
    </row>
    <row r="48" spans="1:8" x14ac:dyDescent="0.25">
      <c r="A48" s="46"/>
      <c r="B48" s="47"/>
      <c r="C48" s="47"/>
      <c r="D48" s="47"/>
      <c r="E48" s="47"/>
      <c r="F48" s="47"/>
      <c r="G48" s="47"/>
      <c r="H48" s="81" t="s">
        <v>125</v>
      </c>
    </row>
    <row r="49" spans="1:8" ht="20.25" x14ac:dyDescent="0.3">
      <c r="A49" s="266" t="str">
        <f>A1</f>
        <v>Noter 2024</v>
      </c>
      <c r="B49" s="267"/>
      <c r="C49" s="267"/>
      <c r="D49" s="267"/>
      <c r="E49" s="267"/>
      <c r="F49" s="267"/>
      <c r="G49" s="267"/>
      <c r="H49" s="268"/>
    </row>
    <row r="50" spans="1:8" ht="15.75" x14ac:dyDescent="0.25">
      <c r="A50" s="269" t="str">
        <f>A2</f>
        <v>Cerebral Parese-foreningen, CP Telemark</v>
      </c>
      <c r="B50" s="270"/>
      <c r="C50" s="270"/>
      <c r="D50" s="270"/>
      <c r="E50" s="270"/>
      <c r="F50" s="270"/>
      <c r="G50" s="270"/>
      <c r="H50" s="271"/>
    </row>
    <row r="51" spans="1:8" x14ac:dyDescent="0.25">
      <c r="A51" s="216"/>
      <c r="B51" s="217"/>
      <c r="C51" s="217"/>
      <c r="D51" s="217"/>
      <c r="E51" s="217"/>
      <c r="F51" s="217"/>
      <c r="G51" s="217"/>
      <c r="H51" s="218"/>
    </row>
    <row r="52" spans="1:8" x14ac:dyDescent="0.25">
      <c r="A52" s="69"/>
      <c r="H52" s="89"/>
    </row>
    <row r="53" spans="1:8" x14ac:dyDescent="0.25">
      <c r="A53" s="69"/>
      <c r="H53" s="89"/>
    </row>
    <row r="54" spans="1:8" x14ac:dyDescent="0.25">
      <c r="A54" s="40" t="s">
        <v>148</v>
      </c>
      <c r="B54" s="244"/>
      <c r="C54" s="244"/>
      <c r="D54" s="244"/>
      <c r="E54" s="244"/>
      <c r="H54" s="89"/>
    </row>
    <row r="55" spans="1:8" ht="26.25" x14ac:dyDescent="0.25">
      <c r="A55" s="99"/>
      <c r="B55" s="244"/>
      <c r="C55" s="244"/>
      <c r="D55" s="244"/>
      <c r="E55" s="244"/>
      <c r="F55" s="247" t="str">
        <f>F43</f>
        <v>Regnskap 2024</v>
      </c>
      <c r="G55" s="254" t="str">
        <f>G43</f>
        <v>Budsjett 2024</v>
      </c>
      <c r="H55" s="85" t="str">
        <f>H43</f>
        <v>Regnskap 2023</v>
      </c>
    </row>
    <row r="56" spans="1:8" x14ac:dyDescent="0.25">
      <c r="A56" s="84" t="s">
        <v>98</v>
      </c>
      <c r="B56" s="244"/>
      <c r="C56" s="244"/>
      <c r="D56" s="244"/>
      <c r="E56" s="244"/>
      <c r="F56" s="244"/>
      <c r="H56" s="98"/>
    </row>
    <row r="57" spans="1:8" x14ac:dyDescent="0.25">
      <c r="A57" s="94" t="s">
        <v>318</v>
      </c>
      <c r="B57" s="244"/>
      <c r="C57" s="244"/>
      <c r="D57" s="244"/>
      <c r="E57" s="244"/>
      <c r="F57" s="248">
        <f>Saldobalanse!C20*-1</f>
        <v>0</v>
      </c>
      <c r="G57" s="248">
        <f>Saldobalanse!D20*-1</f>
        <v>0</v>
      </c>
      <c r="H57" s="41">
        <f>Saldobalanse!E20*-1</f>
        <v>0</v>
      </c>
    </row>
    <row r="58" spans="1:8" x14ac:dyDescent="0.25">
      <c r="A58" s="94" t="s">
        <v>351</v>
      </c>
      <c r="B58" s="244"/>
      <c r="C58" s="244"/>
      <c r="D58" s="244"/>
      <c r="E58" s="244"/>
      <c r="F58" s="248">
        <f>Saldobalanse!C22*-1</f>
        <v>15294.91</v>
      </c>
      <c r="G58" s="248">
        <f>Saldobalanse!D22*-1</f>
        <v>14000</v>
      </c>
      <c r="H58" s="41">
        <f>Saldobalanse!E22*-1</f>
        <v>13649.45</v>
      </c>
    </row>
    <row r="59" spans="1:8" x14ac:dyDescent="0.25">
      <c r="A59" s="94" t="s">
        <v>119</v>
      </c>
      <c r="B59" s="244"/>
      <c r="C59" s="244"/>
      <c r="D59" s="244"/>
      <c r="E59" s="244"/>
      <c r="F59" s="248">
        <f>Saldobalanse!C23*-1</f>
        <v>15743</v>
      </c>
      <c r="G59" s="248">
        <f>Saldobalanse!D23*-1</f>
        <v>12000</v>
      </c>
      <c r="H59" s="41">
        <f>Saldobalanse!E23*-1</f>
        <v>17325</v>
      </c>
    </row>
    <row r="60" spans="1:8" x14ac:dyDescent="0.25">
      <c r="A60" s="83" t="s">
        <v>99</v>
      </c>
      <c r="B60" s="43"/>
      <c r="C60" s="43"/>
      <c r="D60" s="43"/>
      <c r="E60" s="43"/>
      <c r="F60" s="44">
        <f>SUM(F57:F59)</f>
        <v>31037.91</v>
      </c>
      <c r="G60" s="44">
        <f ca="1">SUM(G57:G61)</f>
        <v>26000</v>
      </c>
      <c r="H60" s="48">
        <f ca="1">SUM(H57:H61)</f>
        <v>30974.45</v>
      </c>
    </row>
    <row r="61" spans="1:8" x14ac:dyDescent="0.25">
      <c r="A61" s="69"/>
      <c r="H61" s="89"/>
    </row>
    <row r="62" spans="1:8" x14ac:dyDescent="0.25">
      <c r="A62" s="84" t="s">
        <v>100</v>
      </c>
      <c r="B62" s="244"/>
      <c r="C62" s="244"/>
      <c r="D62" s="244"/>
      <c r="E62" s="244"/>
      <c r="F62" s="248"/>
      <c r="G62" s="13"/>
      <c r="H62" s="17"/>
    </row>
    <row r="63" spans="1:8" x14ac:dyDescent="0.25">
      <c r="A63" s="49" t="s">
        <v>101</v>
      </c>
      <c r="B63" s="244"/>
      <c r="C63" s="244"/>
      <c r="D63" s="244"/>
      <c r="E63" s="244"/>
      <c r="F63" s="248">
        <f>Saldobalanse!C21*-1</f>
        <v>40000</v>
      </c>
      <c r="G63" s="248">
        <f>Saldobalanse!D21*-1</f>
        <v>50000</v>
      </c>
      <c r="H63" s="41">
        <f>Saldobalanse!E21*-1</f>
        <v>40000</v>
      </c>
    </row>
    <row r="64" spans="1:8" x14ac:dyDescent="0.25">
      <c r="A64" s="94" t="s">
        <v>200</v>
      </c>
      <c r="B64" s="244"/>
      <c r="C64" s="244"/>
      <c r="D64" s="244"/>
      <c r="E64" s="244"/>
      <c r="F64" s="248">
        <f>Saldobalanse!C24*-1</f>
        <v>15000</v>
      </c>
      <c r="G64" s="248">
        <f>Saldobalanse!D24*-1</f>
        <v>25000</v>
      </c>
      <c r="H64" s="41">
        <f>Saldobalanse!E24*-1</f>
        <v>0</v>
      </c>
    </row>
    <row r="65" spans="1:8" x14ac:dyDescent="0.25">
      <c r="A65" s="83" t="s">
        <v>102</v>
      </c>
      <c r="B65" s="43"/>
      <c r="C65" s="43"/>
      <c r="D65" s="43"/>
      <c r="E65" s="43"/>
      <c r="F65" s="44">
        <f>SUM(F63:F64)</f>
        <v>55000</v>
      </c>
      <c r="G65" s="44">
        <f ca="1">SUM(G63:G66)</f>
        <v>75000</v>
      </c>
      <c r="H65" s="48">
        <f ca="1">SUM(H63:H66)</f>
        <v>40000</v>
      </c>
    </row>
    <row r="66" spans="1:8" x14ac:dyDescent="0.25">
      <c r="A66" s="49"/>
      <c r="B66" s="244"/>
      <c r="C66" s="244"/>
      <c r="D66" s="244"/>
      <c r="E66" s="244"/>
      <c r="F66" s="248"/>
      <c r="G66" s="248"/>
      <c r="H66" s="41"/>
    </row>
    <row r="67" spans="1:8" x14ac:dyDescent="0.25">
      <c r="A67" s="69"/>
      <c r="H67" s="89"/>
    </row>
    <row r="68" spans="1:8" x14ac:dyDescent="0.25">
      <c r="A68" s="78" t="s">
        <v>149</v>
      </c>
      <c r="B68" s="244"/>
      <c r="C68" s="244"/>
      <c r="D68" s="244"/>
      <c r="E68" s="244"/>
      <c r="H68" s="89"/>
    </row>
    <row r="69" spans="1:8" ht="26.25" x14ac:dyDescent="0.25">
      <c r="A69" s="99"/>
      <c r="B69" s="244"/>
      <c r="C69" s="244"/>
      <c r="D69" s="244"/>
      <c r="E69" s="244"/>
      <c r="F69" s="247" t="str">
        <f>F55</f>
        <v>Regnskap 2024</v>
      </c>
      <c r="G69" s="247" t="str">
        <f>G55</f>
        <v>Budsjett 2024</v>
      </c>
      <c r="H69" s="85" t="str">
        <f>H55</f>
        <v>Regnskap 2023</v>
      </c>
    </row>
    <row r="70" spans="1:8" x14ac:dyDescent="0.25">
      <c r="A70" s="73" t="s">
        <v>319</v>
      </c>
      <c r="B70" s="244"/>
      <c r="C70" s="244"/>
      <c r="D70" s="244"/>
      <c r="E70" s="244"/>
      <c r="F70" s="248">
        <f>Saldobalanse!C13*-1</f>
        <v>816</v>
      </c>
      <c r="G70" s="248">
        <f>Saldobalanse!D13*-1</f>
        <v>1000</v>
      </c>
      <c r="H70" s="41">
        <f>Saldobalanse!E13*-1</f>
        <v>0</v>
      </c>
    </row>
    <row r="71" spans="1:8" x14ac:dyDescent="0.25">
      <c r="A71" s="73" t="s">
        <v>320</v>
      </c>
      <c r="B71" s="244"/>
      <c r="C71" s="244"/>
      <c r="D71" s="244"/>
      <c r="E71" s="244"/>
      <c r="F71" s="248">
        <f>Saldobalanse!C14*-1</f>
        <v>0</v>
      </c>
      <c r="G71" s="248">
        <f>Saldobalanse!D14*-1</f>
        <v>25000</v>
      </c>
      <c r="H71" s="41">
        <f>Saldobalanse!E14*-1</f>
        <v>0</v>
      </c>
    </row>
    <row r="72" spans="1:8" x14ac:dyDescent="0.25">
      <c r="A72" s="73" t="s">
        <v>339</v>
      </c>
      <c r="B72" s="244"/>
      <c r="C72" s="244"/>
      <c r="D72" s="244"/>
      <c r="E72" s="244"/>
      <c r="F72" s="248">
        <f>Saldobalanse!C15*-1</f>
        <v>0</v>
      </c>
      <c r="G72" s="248">
        <f>Saldobalanse!D15*-1</f>
        <v>500</v>
      </c>
      <c r="H72" s="41">
        <f>Saldobalanse!E15*-1</f>
        <v>0</v>
      </c>
    </row>
    <row r="73" spans="1:8" x14ac:dyDescent="0.25">
      <c r="A73" s="73" t="s">
        <v>335</v>
      </c>
      <c r="B73" s="244"/>
      <c r="C73" s="244"/>
      <c r="D73" s="244"/>
      <c r="E73" s="244"/>
      <c r="F73" s="248">
        <f>Saldobalanse!C16*-1</f>
        <v>0</v>
      </c>
      <c r="G73" s="248">
        <f>Saldobalanse!D16*-1</f>
        <v>0</v>
      </c>
      <c r="H73" s="41">
        <f>Saldobalanse!E16*-1</f>
        <v>0</v>
      </c>
    </row>
    <row r="74" spans="1:8" x14ac:dyDescent="0.25">
      <c r="A74" s="69" t="s">
        <v>337</v>
      </c>
      <c r="F74" s="248">
        <f>Saldobalanse!C17*-1</f>
        <v>6400</v>
      </c>
      <c r="G74" s="248">
        <f>Saldobalanse!D17*-1</f>
        <v>0</v>
      </c>
      <c r="H74" s="41">
        <f>Saldobalanse!E17*-1</f>
        <v>0</v>
      </c>
    </row>
    <row r="75" spans="1:8" x14ac:dyDescent="0.25">
      <c r="A75" s="69" t="s">
        <v>342</v>
      </c>
      <c r="F75" s="248">
        <f>Saldobalanse!C18*-1</f>
        <v>0</v>
      </c>
      <c r="G75" s="248">
        <f>Saldobalanse!D18*-1</f>
        <v>0</v>
      </c>
      <c r="H75" s="41">
        <f>Saldobalanse!E18*-1</f>
        <v>0</v>
      </c>
    </row>
    <row r="76" spans="1:8" x14ac:dyDescent="0.25">
      <c r="A76" s="73" t="s">
        <v>451</v>
      </c>
      <c r="F76" s="248">
        <f>Saldobalanse!C19*-1</f>
        <v>5800</v>
      </c>
      <c r="G76" s="248">
        <f>Saldobalanse!D19*-1</f>
        <v>5000</v>
      </c>
      <c r="H76" s="41">
        <f>Saldobalanse!E19*-1</f>
        <v>5150</v>
      </c>
    </row>
    <row r="77" spans="1:8" x14ac:dyDescent="0.25">
      <c r="A77" s="65" t="s">
        <v>120</v>
      </c>
      <c r="B77" s="43"/>
      <c r="C77" s="43"/>
      <c r="D77" s="43"/>
      <c r="E77" s="43"/>
      <c r="F77" s="44">
        <f>SUM(F70:F76)</f>
        <v>13016</v>
      </c>
      <c r="G77" s="44">
        <f t="shared" ref="G77:H77" si="0">SUM(G70:G76)</f>
        <v>31500</v>
      </c>
      <c r="H77" s="48">
        <f t="shared" si="0"/>
        <v>5150</v>
      </c>
    </row>
    <row r="78" spans="1:8" x14ac:dyDescent="0.25">
      <c r="A78" s="243"/>
      <c r="B78" s="244"/>
      <c r="C78" s="244"/>
      <c r="D78" s="244"/>
      <c r="E78" s="244"/>
      <c r="F78" s="245"/>
      <c r="G78" s="245"/>
      <c r="H78" s="246"/>
    </row>
    <row r="79" spans="1:8" x14ac:dyDescent="0.25">
      <c r="A79" s="69"/>
      <c r="H79" s="89"/>
    </row>
    <row r="80" spans="1:8" x14ac:dyDescent="0.25">
      <c r="A80" s="219" t="s">
        <v>360</v>
      </c>
      <c r="H80" s="89"/>
    </row>
    <row r="81" spans="1:8" ht="26.25" x14ac:dyDescent="0.25">
      <c r="A81" s="99"/>
      <c r="B81" s="244"/>
      <c r="C81" s="244"/>
      <c r="D81" s="244"/>
      <c r="E81" s="244"/>
      <c r="F81" s="247" t="str">
        <f>F69</f>
        <v>Regnskap 2024</v>
      </c>
      <c r="G81" s="247" t="str">
        <f>G69</f>
        <v>Budsjett 2024</v>
      </c>
      <c r="H81" s="85" t="str">
        <f>H69</f>
        <v>Regnskap 2023</v>
      </c>
    </row>
    <row r="82" spans="1:8" x14ac:dyDescent="0.25">
      <c r="A82" s="69" t="s">
        <v>450</v>
      </c>
      <c r="F82" s="248">
        <v>-100000</v>
      </c>
      <c r="G82">
        <v>0</v>
      </c>
      <c r="H82" s="89">
        <v>0</v>
      </c>
    </row>
    <row r="83" spans="1:8" x14ac:dyDescent="0.25">
      <c r="A83" s="69" t="s">
        <v>427</v>
      </c>
      <c r="F83" s="248">
        <v>10024</v>
      </c>
      <c r="G83" s="248">
        <v>0</v>
      </c>
      <c r="H83" s="41">
        <v>4300</v>
      </c>
    </row>
    <row r="84" spans="1:8" x14ac:dyDescent="0.25">
      <c r="A84" s="69" t="s">
        <v>411</v>
      </c>
      <c r="F84" s="248">
        <v>25000</v>
      </c>
      <c r="G84" s="248">
        <v>0</v>
      </c>
      <c r="H84" s="41">
        <v>0</v>
      </c>
    </row>
    <row r="85" spans="1:8" x14ac:dyDescent="0.25">
      <c r="A85" s="99" t="s">
        <v>428</v>
      </c>
      <c r="B85" s="244"/>
      <c r="C85" s="244"/>
      <c r="D85" s="244"/>
      <c r="E85" s="244"/>
      <c r="F85" s="248">
        <v>5000</v>
      </c>
      <c r="G85" s="248">
        <v>5000</v>
      </c>
      <c r="H85" s="41">
        <v>5000</v>
      </c>
    </row>
    <row r="86" spans="1:8" x14ac:dyDescent="0.25">
      <c r="A86" s="69" t="s">
        <v>429</v>
      </c>
      <c r="F86" s="248">
        <v>3000</v>
      </c>
      <c r="G86" s="248">
        <v>5000</v>
      </c>
      <c r="H86" s="41">
        <v>5000</v>
      </c>
    </row>
    <row r="87" spans="1:8" x14ac:dyDescent="0.25">
      <c r="A87" s="69" t="s">
        <v>430</v>
      </c>
      <c r="F87" s="248">
        <v>5000</v>
      </c>
      <c r="G87" s="248">
        <v>5000</v>
      </c>
      <c r="H87" s="41">
        <v>5000</v>
      </c>
    </row>
    <row r="88" spans="1:8" x14ac:dyDescent="0.25">
      <c r="A88" s="69" t="s">
        <v>425</v>
      </c>
      <c r="F88" s="248">
        <v>7000</v>
      </c>
      <c r="G88" s="248">
        <v>0</v>
      </c>
      <c r="H88" s="41">
        <v>0</v>
      </c>
    </row>
    <row r="89" spans="1:8" x14ac:dyDescent="0.25">
      <c r="A89" s="69" t="s">
        <v>426</v>
      </c>
      <c r="F89" s="248">
        <v>3200</v>
      </c>
      <c r="G89" s="248">
        <v>0</v>
      </c>
      <c r="H89" s="89">
        <v>0</v>
      </c>
    </row>
    <row r="90" spans="1:8" x14ac:dyDescent="0.25">
      <c r="A90" s="220" t="s">
        <v>359</v>
      </c>
      <c r="B90" s="201"/>
      <c r="C90" s="201"/>
      <c r="D90" s="201"/>
      <c r="E90" s="201"/>
      <c r="F90" s="202">
        <f>SUM(F82:F89)</f>
        <v>-41776</v>
      </c>
      <c r="G90" s="202">
        <f>SUM(G82:G89)</f>
        <v>15000</v>
      </c>
      <c r="H90" s="48">
        <f>SUM(H82:H89)</f>
        <v>19300</v>
      </c>
    </row>
    <row r="91" spans="1:8" x14ac:dyDescent="0.25">
      <c r="A91" s="69"/>
      <c r="H91" s="89"/>
    </row>
    <row r="92" spans="1:8" x14ac:dyDescent="0.25">
      <c r="A92" s="69"/>
      <c r="H92" s="89"/>
    </row>
    <row r="93" spans="1:8" x14ac:dyDescent="0.25">
      <c r="A93" s="69"/>
      <c r="H93" s="89"/>
    </row>
    <row r="94" spans="1:8" x14ac:dyDescent="0.25">
      <c r="A94" s="69"/>
      <c r="H94" s="89"/>
    </row>
    <row r="95" spans="1:8" x14ac:dyDescent="0.25">
      <c r="A95" s="114"/>
      <c r="B95" s="115"/>
      <c r="C95" s="115"/>
      <c r="D95" s="115"/>
      <c r="E95" s="115"/>
      <c r="F95" s="115"/>
      <c r="G95" s="115"/>
      <c r="H95" s="81" t="s">
        <v>126</v>
      </c>
    </row>
    <row r="96" spans="1:8" ht="20.25" x14ac:dyDescent="0.3">
      <c r="A96" s="266" t="str">
        <f>A49</f>
        <v>Noter 2024</v>
      </c>
      <c r="B96" s="267"/>
      <c r="C96" s="267"/>
      <c r="D96" s="267"/>
      <c r="E96" s="267"/>
      <c r="F96" s="267"/>
      <c r="G96" s="267"/>
      <c r="H96" s="268"/>
    </row>
    <row r="97" spans="1:8" ht="15.75" x14ac:dyDescent="0.25">
      <c r="A97" s="269" t="str">
        <f>A50</f>
        <v>Cerebral Parese-foreningen, CP Telemark</v>
      </c>
      <c r="B97" s="270"/>
      <c r="C97" s="270"/>
      <c r="D97" s="270"/>
      <c r="E97" s="270"/>
      <c r="F97" s="270"/>
      <c r="G97" s="270"/>
      <c r="H97" s="271"/>
    </row>
    <row r="98" spans="1:8" x14ac:dyDescent="0.25">
      <c r="A98" s="69"/>
      <c r="H98" s="89"/>
    </row>
    <row r="99" spans="1:8" x14ac:dyDescent="0.25">
      <c r="A99" s="69"/>
      <c r="H99" s="89"/>
    </row>
    <row r="100" spans="1:8" x14ac:dyDescent="0.25">
      <c r="A100" s="87" t="s">
        <v>419</v>
      </c>
      <c r="B100" s="244"/>
      <c r="C100" s="244"/>
      <c r="D100" s="244"/>
      <c r="E100" s="244"/>
      <c r="H100" s="89"/>
    </row>
    <row r="101" spans="1:8" ht="26.25" x14ac:dyDescent="0.25">
      <c r="A101" s="99"/>
      <c r="B101" s="244"/>
      <c r="C101" s="244"/>
      <c r="D101" s="244"/>
      <c r="E101" s="244"/>
      <c r="F101" s="247" t="str">
        <f>F69</f>
        <v>Regnskap 2024</v>
      </c>
      <c r="G101" s="247" t="str">
        <f>G69</f>
        <v>Budsjett 2024</v>
      </c>
      <c r="H101" s="85" t="str">
        <f>H69</f>
        <v>Regnskap 2023</v>
      </c>
    </row>
    <row r="102" spans="1:8" x14ac:dyDescent="0.25">
      <c r="A102" s="73" t="s">
        <v>224</v>
      </c>
      <c r="B102" s="244"/>
      <c r="C102" s="244"/>
      <c r="D102" s="244"/>
      <c r="E102" s="244"/>
      <c r="F102" s="248">
        <f>Saldobalanse!C37</f>
        <v>0</v>
      </c>
      <c r="G102" s="248">
        <f>Saldobalanse!D37</f>
        <v>4000</v>
      </c>
      <c r="H102" s="41">
        <f>Saldobalanse!E37</f>
        <v>2512</v>
      </c>
    </row>
    <row r="103" spans="1:8" x14ac:dyDescent="0.25">
      <c r="A103" s="73" t="s">
        <v>190</v>
      </c>
      <c r="B103" s="244"/>
      <c r="C103" s="244"/>
      <c r="D103" s="244"/>
      <c r="E103" s="244"/>
      <c r="F103" s="248">
        <f>Saldobalanse!C38</f>
        <v>16568</v>
      </c>
      <c r="G103" s="248">
        <f>Saldobalanse!D38</f>
        <v>25000</v>
      </c>
      <c r="H103" s="41">
        <f>Saldobalanse!E38</f>
        <v>20000</v>
      </c>
    </row>
    <row r="104" spans="1:8" x14ac:dyDescent="0.25">
      <c r="A104" s="73" t="s">
        <v>227</v>
      </c>
      <c r="B104" s="244"/>
      <c r="C104" s="244"/>
      <c r="D104" s="244"/>
      <c r="E104" s="244"/>
      <c r="F104" s="248">
        <f>Saldobalanse!C39</f>
        <v>59356.539999999994</v>
      </c>
      <c r="G104" s="248">
        <f>Saldobalanse!D39</f>
        <v>45000</v>
      </c>
      <c r="H104" s="41">
        <f>Saldobalanse!E39</f>
        <v>66299.649999999994</v>
      </c>
    </row>
    <row r="105" spans="1:8" x14ac:dyDescent="0.25">
      <c r="A105" s="73" t="s">
        <v>187</v>
      </c>
      <c r="B105" s="244"/>
      <c r="C105" s="244"/>
      <c r="D105" s="244"/>
      <c r="E105" s="244"/>
      <c r="F105" s="248">
        <f>Saldobalanse!C40</f>
        <v>58161.5</v>
      </c>
      <c r="G105" s="248">
        <f>Saldobalanse!D40</f>
        <v>1500</v>
      </c>
      <c r="H105" s="41">
        <f>Saldobalanse!E40</f>
        <v>0</v>
      </c>
    </row>
    <row r="106" spans="1:8" x14ac:dyDescent="0.25">
      <c r="A106" s="73" t="s">
        <v>194</v>
      </c>
      <c r="B106" s="244"/>
      <c r="C106" s="244"/>
      <c r="D106" s="244"/>
      <c r="E106" s="244"/>
      <c r="F106" s="248">
        <f>Saldobalanse!C41</f>
        <v>0</v>
      </c>
      <c r="G106" s="248">
        <f>Saldobalanse!D41</f>
        <v>500</v>
      </c>
      <c r="H106" s="41">
        <f>Saldobalanse!E41</f>
        <v>0</v>
      </c>
    </row>
    <row r="107" spans="1:8" x14ac:dyDescent="0.25">
      <c r="A107" s="73" t="s">
        <v>232</v>
      </c>
      <c r="B107" s="244"/>
      <c r="C107" s="244"/>
      <c r="D107" s="244"/>
      <c r="E107" s="244"/>
      <c r="F107" s="248">
        <f>Saldobalanse!C42</f>
        <v>42844</v>
      </c>
      <c r="G107" s="248">
        <f>Saldobalanse!D42</f>
        <v>38000</v>
      </c>
      <c r="H107" s="41">
        <f>Saldobalanse!E42</f>
        <v>0</v>
      </c>
    </row>
    <row r="108" spans="1:8" x14ac:dyDescent="0.25">
      <c r="A108" s="73" t="s">
        <v>264</v>
      </c>
      <c r="B108" s="244"/>
      <c r="C108" s="244"/>
      <c r="D108" s="244"/>
      <c r="E108" s="244"/>
      <c r="F108" s="248">
        <f>Saldobalanse!C43</f>
        <v>4062</v>
      </c>
      <c r="G108" s="248">
        <f>Saldobalanse!D43</f>
        <v>26500</v>
      </c>
      <c r="H108" s="41">
        <f>Saldobalanse!E43</f>
        <v>1287.8499999999999</v>
      </c>
    </row>
    <row r="109" spans="1:8" x14ac:dyDescent="0.25">
      <c r="A109" s="73" t="s">
        <v>404</v>
      </c>
      <c r="F109" s="249">
        <f>Saldobalanse!C44</f>
        <v>9216</v>
      </c>
      <c r="G109" s="249">
        <v>0</v>
      </c>
      <c r="H109" s="66">
        <v>0</v>
      </c>
    </row>
    <row r="110" spans="1:8" x14ac:dyDescent="0.25">
      <c r="A110" s="83" t="s">
        <v>133</v>
      </c>
      <c r="B110" s="43"/>
      <c r="C110" s="43"/>
      <c r="D110" s="43"/>
      <c r="E110" s="43"/>
      <c r="F110" s="44">
        <f>SUM(F102:F109)</f>
        <v>190208.03999999998</v>
      </c>
      <c r="G110" s="44">
        <f>SUM(G102:G109)</f>
        <v>140500</v>
      </c>
      <c r="H110" s="48">
        <f>SUM(H102:H109)</f>
        <v>90099.5</v>
      </c>
    </row>
    <row r="111" spans="1:8" x14ac:dyDescent="0.25">
      <c r="A111" s="69"/>
      <c r="H111" s="89"/>
    </row>
    <row r="112" spans="1:8" x14ac:dyDescent="0.25">
      <c r="A112" s="69"/>
      <c r="H112" s="89"/>
    </row>
    <row r="113" spans="1:8" ht="15.75" x14ac:dyDescent="0.25">
      <c r="A113" s="78" t="s">
        <v>353</v>
      </c>
      <c r="B113" s="250"/>
      <c r="C113" s="250"/>
      <c r="D113" s="250"/>
      <c r="E113" s="250"/>
      <c r="F113" s="250"/>
      <c r="G113" s="250"/>
      <c r="H113" s="57"/>
    </row>
    <row r="114" spans="1:8" ht="26.25" x14ac:dyDescent="0.25">
      <c r="A114" s="58"/>
      <c r="B114" s="250"/>
      <c r="C114" s="250"/>
      <c r="D114" s="250"/>
      <c r="E114" s="250"/>
      <c r="F114" s="247" t="str">
        <f>F101</f>
        <v>Regnskap 2024</v>
      </c>
      <c r="G114" s="247" t="str">
        <f>G101</f>
        <v>Budsjett 2024</v>
      </c>
      <c r="H114" s="85" t="str">
        <f>H101</f>
        <v>Regnskap 2023</v>
      </c>
    </row>
    <row r="115" spans="1:8" ht="15.75" x14ac:dyDescent="0.25">
      <c r="A115" s="79" t="s">
        <v>3</v>
      </c>
      <c r="B115" s="250"/>
      <c r="C115" s="250"/>
      <c r="D115" s="250"/>
      <c r="E115" s="250"/>
      <c r="F115" s="249">
        <f>Saldobalanse!C31+Saldobalanse!C32+Saldobalanse!C33</f>
        <v>17947.3</v>
      </c>
      <c r="G115" s="249">
        <f>Saldobalanse!D31+Saldobalanse!D32+Saldobalanse!D33</f>
        <v>9500</v>
      </c>
      <c r="H115" s="66">
        <f>Saldobalanse!E31+Saldobalanse!E32+Saldobalanse!E33</f>
        <v>5936</v>
      </c>
    </row>
    <row r="116" spans="1:8" ht="15.75" x14ac:dyDescent="0.25">
      <c r="A116" s="94" t="s">
        <v>4</v>
      </c>
      <c r="B116" s="250"/>
      <c r="C116" s="250"/>
      <c r="D116" s="250"/>
      <c r="E116" s="250"/>
      <c r="F116" s="249">
        <f>Saldobalanse!C34+Saldobalanse!C35</f>
        <v>0</v>
      </c>
      <c r="G116" s="249">
        <f>Saldobalanse!D34+Saldobalanse!D35</f>
        <v>2300</v>
      </c>
      <c r="H116" s="66">
        <f>Saldobalanse!E34+Saldobalanse!E35</f>
        <v>2320.6799999999998</v>
      </c>
    </row>
    <row r="117" spans="1:8" ht="15.75" x14ac:dyDescent="0.25">
      <c r="A117" s="94" t="s">
        <v>121</v>
      </c>
      <c r="B117" s="250"/>
      <c r="C117" s="250"/>
      <c r="D117" s="250"/>
      <c r="E117" s="250"/>
      <c r="F117" s="249">
        <f>Saldobalanse!C46</f>
        <v>0</v>
      </c>
      <c r="G117" s="249">
        <f>Saldobalanse!D46</f>
        <v>600</v>
      </c>
      <c r="H117" s="66">
        <f>Saldobalanse!E46</f>
        <v>0</v>
      </c>
    </row>
    <row r="118" spans="1:8" ht="15.75" x14ac:dyDescent="0.25">
      <c r="A118" s="94" t="s">
        <v>122</v>
      </c>
      <c r="B118" s="250"/>
      <c r="C118" s="250"/>
      <c r="D118" s="250"/>
      <c r="E118" s="250"/>
      <c r="F118" s="249">
        <f>Saldobalanse!C47</f>
        <v>7987</v>
      </c>
      <c r="G118" s="249">
        <f>Saldobalanse!D47</f>
        <v>8000</v>
      </c>
      <c r="H118" s="66">
        <f>Saldobalanse!E47</f>
        <v>6202</v>
      </c>
    </row>
    <row r="119" spans="1:8" x14ac:dyDescent="0.25">
      <c r="A119" s="94" t="s">
        <v>2</v>
      </c>
      <c r="B119" s="32"/>
      <c r="C119" s="32"/>
      <c r="D119" s="32"/>
      <c r="F119" s="251">
        <f>Saldobalanse!C28</f>
        <v>16700</v>
      </c>
      <c r="G119" s="251">
        <f>Saldobalanse!D28</f>
        <v>14000</v>
      </c>
      <c r="H119" s="86">
        <f>Saldobalanse!E28</f>
        <v>13300</v>
      </c>
    </row>
    <row r="120" spans="1:8" ht="15.75" x14ac:dyDescent="0.25">
      <c r="A120" s="94" t="s">
        <v>7</v>
      </c>
      <c r="B120" s="250"/>
      <c r="C120" s="250"/>
      <c r="D120" s="250"/>
      <c r="E120" s="250"/>
      <c r="F120" s="249">
        <f>Saldobalanse!C48</f>
        <v>9427.5199999999986</v>
      </c>
      <c r="G120" s="249">
        <f>Saldobalanse!D48</f>
        <v>12000</v>
      </c>
      <c r="H120" s="66">
        <f>Saldobalanse!E48</f>
        <v>9648.7000000000007</v>
      </c>
    </row>
    <row r="121" spans="1:8" ht="15.75" x14ac:dyDescent="0.25">
      <c r="A121" s="77" t="s">
        <v>123</v>
      </c>
      <c r="B121" s="250"/>
      <c r="C121" s="250"/>
      <c r="D121" s="250"/>
      <c r="E121" s="250"/>
      <c r="F121" s="249">
        <f>Saldobalanse!C27+Saldobalanse!C30+Saldobalanse!C45+Saldobalanse!C49+Saldobalanse!C50</f>
        <v>16743.300000000003</v>
      </c>
      <c r="G121" s="249">
        <f>Saldobalanse!D27+Saldobalanse!D30+Saldobalanse!D45+Saldobalanse!D49+Saldobalanse!D50</f>
        <v>32700</v>
      </c>
      <c r="H121" s="66">
        <f>Saldobalanse!E27+Saldobalanse!E30+Saldobalanse!E45+Saldobalanse!E49+Saldobalanse!E50</f>
        <v>71273.539999999994</v>
      </c>
    </row>
    <row r="122" spans="1:8" x14ac:dyDescent="0.25">
      <c r="A122" s="74" t="s">
        <v>124</v>
      </c>
      <c r="B122" s="75"/>
      <c r="C122" s="75"/>
      <c r="D122" s="75"/>
      <c r="E122" s="75"/>
      <c r="F122" s="67">
        <f>SUM(F115:F121)</f>
        <v>68805.119999999995</v>
      </c>
      <c r="G122" s="67">
        <f>SUM(G115:G121)</f>
        <v>79100</v>
      </c>
      <c r="H122" s="68">
        <f>SUM(H115:H121)</f>
        <v>108680.92</v>
      </c>
    </row>
    <row r="123" spans="1:8" x14ac:dyDescent="0.25">
      <c r="A123" s="99"/>
      <c r="B123" s="244"/>
      <c r="C123" s="244"/>
      <c r="D123" s="244"/>
      <c r="E123" s="244"/>
      <c r="F123" s="244"/>
      <c r="G123" s="244"/>
      <c r="H123" s="238"/>
    </row>
    <row r="124" spans="1:8" x14ac:dyDescent="0.25">
      <c r="A124" s="69"/>
      <c r="H124" s="89"/>
    </row>
    <row r="125" spans="1:8" x14ac:dyDescent="0.25">
      <c r="A125" s="69"/>
      <c r="H125" s="89"/>
    </row>
    <row r="126" spans="1:8" x14ac:dyDescent="0.25">
      <c r="A126" s="40" t="s">
        <v>420</v>
      </c>
      <c r="B126" s="244"/>
      <c r="C126" s="244"/>
      <c r="D126" s="244"/>
      <c r="E126" s="244"/>
      <c r="F126" s="244"/>
      <c r="G126" s="244"/>
      <c r="H126" s="89"/>
    </row>
    <row r="127" spans="1:8" ht="26.25" x14ac:dyDescent="0.25">
      <c r="A127" s="99"/>
      <c r="B127" s="244"/>
      <c r="C127" s="244"/>
      <c r="D127" s="244"/>
      <c r="E127" s="244"/>
      <c r="F127" s="252"/>
      <c r="G127" s="253" t="s">
        <v>114</v>
      </c>
      <c r="H127" s="45" t="s">
        <v>17</v>
      </c>
    </row>
    <row r="128" spans="1:8" x14ac:dyDescent="0.25">
      <c r="A128" s="99" t="s">
        <v>67</v>
      </c>
      <c r="B128" s="244"/>
      <c r="C128" s="244"/>
      <c r="D128" s="244"/>
      <c r="E128" s="244"/>
      <c r="F128" s="248"/>
      <c r="G128" s="248">
        <f>SUM(Saldobalanse!E8)*-1</f>
        <v>598982.54</v>
      </c>
      <c r="H128" s="41">
        <f>SUM(F128:G128)</f>
        <v>598982.54</v>
      </c>
    </row>
    <row r="129" spans="1:8" x14ac:dyDescent="0.25">
      <c r="A129" s="99" t="s">
        <v>50</v>
      </c>
      <c r="B129" s="244"/>
      <c r="C129" s="244"/>
      <c r="D129" s="244"/>
      <c r="E129" s="244"/>
      <c r="F129" s="248"/>
      <c r="G129" s="248">
        <f>SUM(Aktivitetsregnskap!C99)</f>
        <v>2849658.48</v>
      </c>
      <c r="H129" s="41">
        <f>SUM(F129:G129)</f>
        <v>2849658.48</v>
      </c>
    </row>
    <row r="130" spans="1:8" x14ac:dyDescent="0.25">
      <c r="A130" s="99" t="s">
        <v>68</v>
      </c>
      <c r="B130" s="244"/>
      <c r="C130" s="244"/>
      <c r="D130" s="244"/>
      <c r="E130" s="244"/>
      <c r="F130" s="248"/>
      <c r="G130" s="39">
        <f>SUM(G128:G129)</f>
        <v>3448641.02</v>
      </c>
      <c r="H130" s="38">
        <f>SUM(H128:H129)</f>
        <v>3448641.02</v>
      </c>
    </row>
    <row r="131" spans="1:8" x14ac:dyDescent="0.25">
      <c r="A131" s="69"/>
      <c r="H131" s="89"/>
    </row>
    <row r="132" spans="1:8" x14ac:dyDescent="0.25">
      <c r="A132" s="69"/>
      <c r="H132" s="89"/>
    </row>
    <row r="133" spans="1:8" x14ac:dyDescent="0.25">
      <c r="A133" s="111" t="s">
        <v>422</v>
      </c>
      <c r="H133" s="89"/>
    </row>
    <row r="134" spans="1:8" ht="26.25" x14ac:dyDescent="0.25">
      <c r="A134" s="69"/>
      <c r="F134" s="247" t="str">
        <f>F114</f>
        <v>Regnskap 2024</v>
      </c>
      <c r="G134" s="247" t="str">
        <f>G114</f>
        <v>Budsjett 2024</v>
      </c>
      <c r="H134" s="85" t="str">
        <f>H114</f>
        <v>Regnskap 2023</v>
      </c>
    </row>
    <row r="135" spans="1:8" x14ac:dyDescent="0.25">
      <c r="A135" s="94" t="s">
        <v>340</v>
      </c>
      <c r="F135" s="249">
        <f>Saldobalanse!C10*-1</f>
        <v>0</v>
      </c>
      <c r="G135" s="249">
        <f>Saldobalanse!D10*-1</f>
        <v>0</v>
      </c>
      <c r="H135" s="66">
        <f>Saldobalanse!E10*-1</f>
        <v>13300</v>
      </c>
    </row>
    <row r="136" spans="1:8" x14ac:dyDescent="0.25">
      <c r="A136" s="94" t="s">
        <v>457</v>
      </c>
      <c r="F136" s="249">
        <f>Saldobalanse!C11*-1</f>
        <v>0</v>
      </c>
      <c r="G136" s="249">
        <f>Saldobalanse!D11*-1</f>
        <v>0</v>
      </c>
      <c r="H136" s="66">
        <f>Saldobalanse!E11*-1</f>
        <v>113413.37</v>
      </c>
    </row>
    <row r="137" spans="1:8" x14ac:dyDescent="0.25">
      <c r="A137" s="74" t="s">
        <v>47</v>
      </c>
      <c r="B137" s="75"/>
      <c r="C137" s="75"/>
      <c r="D137" s="75"/>
      <c r="E137" s="75"/>
      <c r="F137" s="67">
        <f>SUM(F135:F136)</f>
        <v>0</v>
      </c>
      <c r="G137" s="67">
        <f t="shared" ref="G137:H137" si="1">SUM(G135:G136)</f>
        <v>0</v>
      </c>
      <c r="H137" s="68">
        <f t="shared" si="1"/>
        <v>126713.37</v>
      </c>
    </row>
    <row r="138" spans="1:8" x14ac:dyDescent="0.25">
      <c r="A138" s="69"/>
      <c r="H138" s="89"/>
    </row>
    <row r="139" spans="1:8" x14ac:dyDescent="0.25">
      <c r="A139" s="69"/>
      <c r="H139" s="89"/>
    </row>
    <row r="140" spans="1:8" x14ac:dyDescent="0.25">
      <c r="A140" s="69"/>
      <c r="H140" s="89"/>
    </row>
    <row r="141" spans="1:8" x14ac:dyDescent="0.25">
      <c r="A141" s="114"/>
      <c r="B141" s="115"/>
      <c r="C141" s="115"/>
      <c r="D141" s="115"/>
      <c r="E141" s="115"/>
      <c r="F141" s="115"/>
      <c r="G141" s="115"/>
      <c r="H141" s="81" t="s">
        <v>113</v>
      </c>
    </row>
    <row r="142" spans="1:8" ht="20.25" x14ac:dyDescent="0.3">
      <c r="A142" s="266" t="str">
        <f>A49</f>
        <v>Noter 2024</v>
      </c>
      <c r="B142" s="267"/>
      <c r="C142" s="267"/>
      <c r="D142" s="267"/>
      <c r="E142" s="267"/>
      <c r="F142" s="267"/>
      <c r="G142" s="267"/>
      <c r="H142" s="268"/>
    </row>
    <row r="143" spans="1:8" ht="15.75" x14ac:dyDescent="0.25">
      <c r="A143" s="269" t="str">
        <f>A2</f>
        <v>Cerebral Parese-foreningen, CP Telemark</v>
      </c>
      <c r="B143" s="270"/>
      <c r="C143" s="270"/>
      <c r="D143" s="270"/>
      <c r="E143" s="270"/>
      <c r="F143" s="270"/>
      <c r="G143" s="270"/>
      <c r="H143" s="271"/>
    </row>
    <row r="144" spans="1:8" x14ac:dyDescent="0.25">
      <c r="A144" s="69"/>
      <c r="H144" s="89"/>
    </row>
    <row r="145" spans="1:11" x14ac:dyDescent="0.25">
      <c r="A145" s="69"/>
      <c r="H145" s="89"/>
    </row>
    <row r="146" spans="1:11" x14ac:dyDescent="0.25">
      <c r="A146" s="87" t="s">
        <v>151</v>
      </c>
      <c r="B146" s="244"/>
      <c r="C146" s="244"/>
      <c r="D146" s="244"/>
      <c r="E146" s="244"/>
      <c r="F146" s="244"/>
      <c r="G146" s="244"/>
      <c r="H146" s="100"/>
    </row>
    <row r="147" spans="1:11" ht="26.25" x14ac:dyDescent="0.25">
      <c r="A147" s="84" t="s">
        <v>69</v>
      </c>
      <c r="B147" s="244"/>
      <c r="C147" s="244"/>
      <c r="D147" s="244"/>
      <c r="E147" s="244"/>
      <c r="F147" s="247" t="str">
        <f>F114</f>
        <v>Regnskap 2024</v>
      </c>
      <c r="G147" s="247" t="str">
        <f>G114</f>
        <v>Budsjett 2024</v>
      </c>
      <c r="H147" s="85" t="str">
        <f>H114</f>
        <v>Regnskap 2023</v>
      </c>
    </row>
    <row r="148" spans="1:11" x14ac:dyDescent="0.25">
      <c r="A148" s="94" t="s">
        <v>98</v>
      </c>
      <c r="B148" s="244"/>
      <c r="C148" s="244"/>
      <c r="D148" s="244"/>
      <c r="E148" s="244"/>
      <c r="F148" s="248">
        <f>F60</f>
        <v>31037.91</v>
      </c>
      <c r="G148" s="248">
        <f ca="1">SUM(G60)</f>
        <v>26000</v>
      </c>
      <c r="H148" s="41">
        <f ca="1">SUM(H60)</f>
        <v>30974.45</v>
      </c>
    </row>
    <row r="149" spans="1:11" x14ac:dyDescent="0.25">
      <c r="A149" s="94" t="s">
        <v>103</v>
      </c>
      <c r="B149" s="244"/>
      <c r="C149" s="244"/>
      <c r="D149" s="244"/>
      <c r="E149" s="244"/>
      <c r="F149" s="248">
        <f>F65</f>
        <v>55000</v>
      </c>
      <c r="G149" s="248">
        <f ca="1">SUM(G65)</f>
        <v>75000</v>
      </c>
      <c r="H149" s="41">
        <f ca="1">SUM(H65)</f>
        <v>40000</v>
      </c>
      <c r="K149" s="13"/>
    </row>
    <row r="150" spans="1:11" x14ac:dyDescent="0.25">
      <c r="A150" s="94" t="s">
        <v>10</v>
      </c>
      <c r="B150" s="244"/>
      <c r="C150" s="244"/>
      <c r="D150" s="244"/>
      <c r="E150" s="244"/>
      <c r="F150" s="248">
        <f>SUM(Saldobalanse!C12+Saldobalanse!C13+Saldobalanse!C14+Saldobalanse!C15+Saldobalanse!C16+Saldobalanse!C17+Saldobalanse!C19+Saldobalanse!C25+Saldobalanse!C26)*-1</f>
        <v>2882153.73</v>
      </c>
      <c r="G150" s="248">
        <f>SUM(Saldobalanse!D12+Saldobalanse!D13+Saldobalanse!D14+Saldobalanse!D15+Saldobalanse!D16+Saldobalanse!D17+Saldobalanse!D19+Saldobalanse!D25+Saldobalanse!D26)*-1</f>
        <v>2868000</v>
      </c>
      <c r="H150" s="41">
        <f>SUM(Saldobalanse!E12+Saldobalanse!E13+Saldobalanse!E14+Saldobalanse!E15+Saldobalanse!E16+Saldobalanse!E17+Saldobalanse!E19+Saldobalanse!E25+Saldobalanse!E26)*-1</f>
        <v>51345.63</v>
      </c>
    </row>
    <row r="151" spans="1:11" x14ac:dyDescent="0.25">
      <c r="A151" s="83" t="s">
        <v>104</v>
      </c>
      <c r="B151" s="42"/>
      <c r="C151" s="42"/>
      <c r="D151" s="42"/>
      <c r="E151" s="42"/>
      <c r="F151" s="44">
        <f>SUM(F148:F150)</f>
        <v>2968191.64</v>
      </c>
      <c r="G151" s="44">
        <f t="shared" ref="G151" ca="1" si="2">SUM(G148:G150)</f>
        <v>2969000</v>
      </c>
      <c r="H151" s="48">
        <f t="shared" ref="H151" ca="1" si="3">SUM(H148:H150)</f>
        <v>122320.07999999999</v>
      </c>
      <c r="I151" s="2"/>
    </row>
    <row r="152" spans="1:11" x14ac:dyDescent="0.25">
      <c r="A152" s="84" t="s">
        <v>70</v>
      </c>
      <c r="B152" s="244"/>
      <c r="C152" s="244"/>
      <c r="D152" s="244"/>
      <c r="E152" s="244"/>
      <c r="F152" s="248"/>
      <c r="G152" s="248"/>
      <c r="H152" s="41"/>
    </row>
    <row r="153" spans="1:11" x14ac:dyDescent="0.25">
      <c r="A153" s="94" t="s">
        <v>105</v>
      </c>
      <c r="B153" s="244"/>
      <c r="C153" s="244"/>
      <c r="D153" s="244"/>
      <c r="E153" s="244"/>
      <c r="F153" s="248">
        <f>SUM(Saldobalanse!C27+Saldobalanse!C28)</f>
        <v>16700</v>
      </c>
      <c r="G153" s="248">
        <f>SUM(Saldobalanse!D27+Saldobalanse!D28)</f>
        <v>14000</v>
      </c>
      <c r="H153" s="41">
        <f>SUM(Saldobalanse!E27+Saldobalanse!E28)</f>
        <v>13300</v>
      </c>
    </row>
    <row r="154" spans="1:11" x14ac:dyDescent="0.25">
      <c r="A154" s="94" t="s">
        <v>106</v>
      </c>
      <c r="B154" s="244"/>
      <c r="C154" s="244"/>
      <c r="D154" s="244"/>
      <c r="E154" s="244"/>
      <c r="F154" s="248">
        <f>SUM(Saldobalanse!C29:C50)</f>
        <v>200537.15999999997</v>
      </c>
      <c r="G154" s="248">
        <f>SUM(Saldobalanse!D29:D50)</f>
        <v>220600</v>
      </c>
      <c r="H154" s="41">
        <f>SUM(Saldobalanse!E29:E50)</f>
        <v>204780.41999999998</v>
      </c>
    </row>
    <row r="155" spans="1:11" x14ac:dyDescent="0.25">
      <c r="A155" s="94" t="s">
        <v>355</v>
      </c>
      <c r="B155" s="244"/>
      <c r="C155" s="244"/>
      <c r="D155" s="244"/>
      <c r="E155" s="244"/>
      <c r="F155" s="248">
        <f>Saldobalanse!C29</f>
        <v>0</v>
      </c>
      <c r="G155" s="248">
        <f>Saldobalanse!D29</f>
        <v>0</v>
      </c>
      <c r="H155" s="41">
        <f>Saldobalanse!E29</f>
        <v>0</v>
      </c>
      <c r="I155" s="13"/>
    </row>
    <row r="156" spans="1:11" x14ac:dyDescent="0.25">
      <c r="A156" s="83" t="s">
        <v>107</v>
      </c>
      <c r="B156" s="43"/>
      <c r="C156" s="43"/>
      <c r="D156" s="43"/>
      <c r="E156" s="43"/>
      <c r="F156" s="44">
        <f t="shared" ref="F156:G156" si="4">SUM(F153:F154)</f>
        <v>217237.15999999997</v>
      </c>
      <c r="G156" s="44">
        <f t="shared" si="4"/>
        <v>234600</v>
      </c>
      <c r="H156" s="48">
        <f t="shared" ref="H156" si="5">SUM(H153:H154)</f>
        <v>218080.41999999998</v>
      </c>
      <c r="I156" s="13"/>
    </row>
    <row r="157" spans="1:11" x14ac:dyDescent="0.25">
      <c r="A157" s="83" t="s">
        <v>108</v>
      </c>
      <c r="B157" s="43"/>
      <c r="C157" s="43"/>
      <c r="D157" s="43"/>
      <c r="E157" s="43"/>
      <c r="F157" s="44">
        <f t="shared" ref="F157:G157" si="6">SUM(F151-F156)</f>
        <v>2750954.48</v>
      </c>
      <c r="G157" s="44">
        <f t="shared" ca="1" si="6"/>
        <v>2734400</v>
      </c>
      <c r="H157" s="48">
        <f t="shared" ref="H157" ca="1" si="7">SUM(H151-H156)</f>
        <v>-95760.340000000026</v>
      </c>
      <c r="I157" s="13"/>
    </row>
    <row r="158" spans="1:11" x14ac:dyDescent="0.25">
      <c r="A158" s="94" t="s">
        <v>5</v>
      </c>
      <c r="B158" s="244"/>
      <c r="C158" s="244"/>
      <c r="D158" s="244"/>
      <c r="E158" s="244"/>
      <c r="F158" s="248">
        <f>Saldobalanse!C51*-1</f>
        <v>97030</v>
      </c>
      <c r="G158" s="248">
        <f>Saldobalanse!D51*-1</f>
        <v>80000</v>
      </c>
      <c r="H158" s="41">
        <f>Saldobalanse!E51*-1</f>
        <v>19345</v>
      </c>
    </row>
    <row r="159" spans="1:11" x14ac:dyDescent="0.25">
      <c r="A159" s="94" t="s">
        <v>403</v>
      </c>
      <c r="B159" s="244"/>
      <c r="C159" s="244"/>
      <c r="D159" s="244"/>
      <c r="E159" s="244"/>
      <c r="F159" s="248">
        <f>Saldobalanse!C52*-1</f>
        <v>1674</v>
      </c>
      <c r="G159" s="248">
        <f>Saldobalanse!D52</f>
        <v>0</v>
      </c>
      <c r="H159" s="41">
        <f>Saldobalanse!E52</f>
        <v>0</v>
      </c>
      <c r="J159" s="13"/>
    </row>
    <row r="160" spans="1:11" x14ac:dyDescent="0.25">
      <c r="A160" s="94" t="s">
        <v>356</v>
      </c>
      <c r="B160" s="244"/>
      <c r="C160" s="244"/>
      <c r="D160" s="244"/>
      <c r="E160" s="244"/>
      <c r="F160" s="248">
        <f>Saldobalanse!C54</f>
        <v>0</v>
      </c>
      <c r="G160" s="248">
        <f>Saldobalanse!D54</f>
        <v>800</v>
      </c>
      <c r="H160" s="41">
        <f>Saldobalanse!E54</f>
        <v>585</v>
      </c>
    </row>
    <row r="161" spans="1:8" x14ac:dyDescent="0.25">
      <c r="A161" s="83" t="s">
        <v>109</v>
      </c>
      <c r="B161" s="43"/>
      <c r="C161" s="43"/>
      <c r="D161" s="43"/>
      <c r="E161" s="43"/>
      <c r="F161" s="44">
        <f>F158+F159-F160</f>
        <v>98704</v>
      </c>
      <c r="G161" s="44">
        <f t="shared" ref="G161:H161" si="8">G158+G159-G160</f>
        <v>79200</v>
      </c>
      <c r="H161" s="68">
        <f t="shared" si="8"/>
        <v>18760</v>
      </c>
    </row>
    <row r="162" spans="1:8" x14ac:dyDescent="0.25">
      <c r="A162" s="83" t="s">
        <v>110</v>
      </c>
      <c r="B162" s="43"/>
      <c r="C162" s="43"/>
      <c r="D162" s="43"/>
      <c r="E162" s="43"/>
      <c r="F162" s="44">
        <f>SUM(F157+F161)</f>
        <v>2849658.48</v>
      </c>
      <c r="G162" s="44">
        <f ca="1">SUM(G157+G161)</f>
        <v>2813600</v>
      </c>
      <c r="H162" s="48">
        <f ca="1">SUM(H157+H161)</f>
        <v>-77000.340000000026</v>
      </c>
    </row>
    <row r="163" spans="1:8" x14ac:dyDescent="0.25">
      <c r="A163" s="69"/>
      <c r="H163" s="89"/>
    </row>
    <row r="164" spans="1:8" x14ac:dyDescent="0.25">
      <c r="A164" s="84" t="s">
        <v>111</v>
      </c>
      <c r="B164" s="244"/>
      <c r="C164" s="244"/>
      <c r="D164" s="244"/>
      <c r="E164" s="244"/>
      <c r="F164" s="248"/>
      <c r="G164" s="248"/>
      <c r="H164" s="41"/>
    </row>
    <row r="165" spans="1:8" x14ac:dyDescent="0.25">
      <c r="A165" s="94" t="s">
        <v>112</v>
      </c>
      <c r="B165" s="244"/>
      <c r="C165" s="244"/>
      <c r="D165" s="244"/>
      <c r="E165" s="244"/>
      <c r="F165" s="248">
        <f>SUM(F162)*-1</f>
        <v>-2849658.48</v>
      </c>
      <c r="G165" s="248"/>
      <c r="H165" s="41">
        <f ca="1">SUM(H162)*-1</f>
        <v>77000.340000000026</v>
      </c>
    </row>
    <row r="166" spans="1:8" x14ac:dyDescent="0.25">
      <c r="A166" s="69"/>
      <c r="F166" s="13"/>
      <c r="H166" s="89"/>
    </row>
    <row r="167" spans="1:8" x14ac:dyDescent="0.25">
      <c r="A167" s="69"/>
      <c r="F167" s="13"/>
      <c r="H167" s="89"/>
    </row>
    <row r="168" spans="1:8" x14ac:dyDescent="0.25">
      <c r="A168" s="69"/>
      <c r="H168" s="89"/>
    </row>
    <row r="169" spans="1:8" x14ac:dyDescent="0.25">
      <c r="A169" s="69"/>
      <c r="H169" s="89"/>
    </row>
    <row r="170" spans="1:8" hidden="1" x14ac:dyDescent="0.25">
      <c r="A170" s="69"/>
      <c r="H170" s="89"/>
    </row>
    <row r="171" spans="1:8" x14ac:dyDescent="0.25">
      <c r="A171" s="69"/>
      <c r="H171" s="89"/>
    </row>
    <row r="172" spans="1:8" x14ac:dyDescent="0.25">
      <c r="A172" s="69"/>
      <c r="H172" s="89"/>
    </row>
    <row r="173" spans="1:8" x14ac:dyDescent="0.25">
      <c r="A173" s="69"/>
      <c r="H173" s="89"/>
    </row>
    <row r="174" spans="1:8" x14ac:dyDescent="0.25">
      <c r="A174" s="69"/>
      <c r="H174" s="89"/>
    </row>
    <row r="175" spans="1:8" x14ac:dyDescent="0.25">
      <c r="A175" s="69"/>
      <c r="H175" s="89"/>
    </row>
    <row r="176" spans="1:8" x14ac:dyDescent="0.25">
      <c r="A176" s="69"/>
      <c r="H176" s="89"/>
    </row>
    <row r="177" spans="1:8" x14ac:dyDescent="0.25">
      <c r="A177" s="69"/>
      <c r="H177" s="89"/>
    </row>
    <row r="178" spans="1:8" x14ac:dyDescent="0.25">
      <c r="A178" s="69"/>
      <c r="H178" s="89"/>
    </row>
    <row r="179" spans="1:8" x14ac:dyDescent="0.25">
      <c r="A179" s="69"/>
      <c r="H179" s="89"/>
    </row>
    <row r="180" spans="1:8" x14ac:dyDescent="0.25">
      <c r="A180" s="69"/>
      <c r="H180" s="89"/>
    </row>
    <row r="181" spans="1:8" x14ac:dyDescent="0.25">
      <c r="A181" s="69"/>
      <c r="H181" s="89"/>
    </row>
    <row r="182" spans="1:8" x14ac:dyDescent="0.25">
      <c r="A182" s="69"/>
      <c r="H182" s="89"/>
    </row>
    <row r="183" spans="1:8" x14ac:dyDescent="0.25">
      <c r="A183" s="69"/>
      <c r="H183" s="89"/>
    </row>
    <row r="184" spans="1:8" x14ac:dyDescent="0.25">
      <c r="A184" s="69"/>
      <c r="H184" s="89"/>
    </row>
    <row r="185" spans="1:8" x14ac:dyDescent="0.25">
      <c r="A185" s="69"/>
      <c r="H185" s="89"/>
    </row>
    <row r="186" spans="1:8" x14ac:dyDescent="0.25">
      <c r="A186" s="69"/>
      <c r="H186" s="89"/>
    </row>
    <row r="187" spans="1:8" x14ac:dyDescent="0.25">
      <c r="A187" s="69"/>
      <c r="H187" s="89"/>
    </row>
    <row r="188" spans="1:8" x14ac:dyDescent="0.25">
      <c r="A188" s="69"/>
      <c r="H188" s="89"/>
    </row>
    <row r="189" spans="1:8" x14ac:dyDescent="0.25">
      <c r="A189" s="69"/>
      <c r="H189" s="89"/>
    </row>
    <row r="190" spans="1:8" x14ac:dyDescent="0.25">
      <c r="A190" s="26"/>
      <c r="B190" s="80"/>
      <c r="C190" s="80"/>
      <c r="D190" s="80"/>
      <c r="E190" s="80"/>
      <c r="F190" s="80"/>
      <c r="G190" s="80"/>
      <c r="H190" s="81" t="s">
        <v>421</v>
      </c>
    </row>
    <row r="191" spans="1:8" ht="18.75" customHeight="1" x14ac:dyDescent="0.25">
      <c r="A191" s="24"/>
      <c r="B191" s="25"/>
      <c r="C191" s="25"/>
      <c r="D191" s="25"/>
      <c r="E191" s="25"/>
      <c r="F191" s="25"/>
      <c r="G191" s="25"/>
      <c r="H191" s="25"/>
    </row>
    <row r="193" spans="6:11" x14ac:dyDescent="0.25">
      <c r="F193" s="13"/>
    </row>
    <row r="197" spans="6:11" x14ac:dyDescent="0.25">
      <c r="F197" s="13"/>
    </row>
    <row r="198" spans="6:11" x14ac:dyDescent="0.25">
      <c r="K198" s="15"/>
    </row>
    <row r="199" spans="6:11" x14ac:dyDescent="0.25">
      <c r="K199" s="15"/>
    </row>
  </sheetData>
  <mergeCells count="8">
    <mergeCell ref="A1:H1"/>
    <mergeCell ref="A2:H2"/>
    <mergeCell ref="A142:H142"/>
    <mergeCell ref="A143:H143"/>
    <mergeCell ref="A49:H49"/>
    <mergeCell ref="A50:H50"/>
    <mergeCell ref="A96:H96"/>
    <mergeCell ref="A97:H97"/>
  </mergeCells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0"/>
  <sheetViews>
    <sheetView topLeftCell="A34" zoomScale="120" zoomScaleNormal="120" workbookViewId="0">
      <selection activeCell="C57" sqref="C57"/>
    </sheetView>
  </sheetViews>
  <sheetFormatPr baseColWidth="10" defaultColWidth="11.42578125" defaultRowHeight="14.25" x14ac:dyDescent="0.2"/>
  <cols>
    <col min="1" max="1" width="6.28515625" style="51" customWidth="1"/>
    <col min="2" max="2" width="42.7109375" style="51" bestFit="1" customWidth="1"/>
    <col min="3" max="3" width="17.42578125" style="53" customWidth="1"/>
    <col min="4" max="4" width="14.5703125" style="53" customWidth="1"/>
    <col min="5" max="5" width="17.5703125" style="53" customWidth="1"/>
    <col min="6" max="6" width="15.7109375" style="51" customWidth="1"/>
    <col min="7" max="7" width="5.42578125" style="51" bestFit="1" customWidth="1"/>
    <col min="8" max="8" width="34.140625" style="51" bestFit="1" customWidth="1"/>
    <col min="9" max="9" width="13.140625" style="53" bestFit="1" customWidth="1"/>
    <col min="10" max="10" width="15.5703125" style="53" bestFit="1" customWidth="1"/>
    <col min="11" max="11" width="5.28515625" style="51" customWidth="1"/>
    <col min="12" max="12" width="11.42578125" style="51"/>
    <col min="13" max="13" width="29.28515625" style="51" bestFit="1" customWidth="1"/>
    <col min="14" max="24" width="11.42578125" style="51"/>
    <col min="25" max="25" width="14.140625" style="51" bestFit="1" customWidth="1"/>
    <col min="26" max="16384" width="11.42578125" style="51"/>
  </cols>
  <sheetData>
    <row r="1" spans="1:15" ht="15" x14ac:dyDescent="0.25">
      <c r="A1" s="50" t="s">
        <v>55</v>
      </c>
      <c r="C1" s="52" t="s">
        <v>344</v>
      </c>
      <c r="D1" s="52" t="s">
        <v>207</v>
      </c>
      <c r="E1" s="52" t="s">
        <v>155</v>
      </c>
    </row>
    <row r="2" spans="1:15" x14ac:dyDescent="0.2">
      <c r="A2" s="76">
        <v>1500</v>
      </c>
      <c r="B2" s="51" t="s">
        <v>8</v>
      </c>
      <c r="C2" s="54">
        <f>Hovedbok!D152</f>
        <v>0</v>
      </c>
      <c r="D2" s="54"/>
      <c r="E2" s="54">
        <v>0</v>
      </c>
    </row>
    <row r="3" spans="1:15" x14ac:dyDescent="0.2">
      <c r="A3" s="51">
        <v>1750</v>
      </c>
      <c r="B3" s="51" t="s">
        <v>127</v>
      </c>
      <c r="C3" s="55">
        <f>Hovedbok!E152</f>
        <v>14120</v>
      </c>
      <c r="D3" s="54"/>
      <c r="E3" s="54">
        <v>14360</v>
      </c>
      <c r="F3" s="54"/>
    </row>
    <row r="4" spans="1:15" x14ac:dyDescent="0.2">
      <c r="A4" s="51">
        <v>1900</v>
      </c>
      <c r="B4" s="51" t="s">
        <v>161</v>
      </c>
      <c r="C4" s="55">
        <f>SUM(Hovedbok!F152)</f>
        <v>789</v>
      </c>
      <c r="D4" s="54"/>
      <c r="E4" s="54">
        <v>789</v>
      </c>
      <c r="G4" s="56"/>
    </row>
    <row r="5" spans="1:15" x14ac:dyDescent="0.2">
      <c r="A5" s="51">
        <v>1920</v>
      </c>
      <c r="B5" s="51" t="s">
        <v>163</v>
      </c>
      <c r="C5" s="55">
        <f>Hovedbok!G152</f>
        <v>26671.019999999804</v>
      </c>
      <c r="D5" s="54"/>
      <c r="E5" s="54">
        <v>57082.54</v>
      </c>
    </row>
    <row r="6" spans="1:15" x14ac:dyDescent="0.2">
      <c r="A6" s="51">
        <v>1921</v>
      </c>
      <c r="B6" s="51" t="s">
        <v>164</v>
      </c>
      <c r="C6" s="55">
        <f>Hovedbok!H152</f>
        <v>3406711</v>
      </c>
      <c r="D6" s="54"/>
      <c r="E6" s="54">
        <v>640051</v>
      </c>
    </row>
    <row r="7" spans="1:15" x14ac:dyDescent="0.2">
      <c r="A7" s="51">
        <v>1922</v>
      </c>
      <c r="B7" s="51" t="s">
        <v>408</v>
      </c>
      <c r="C7" s="55">
        <f>Hovedbok!I152</f>
        <v>350</v>
      </c>
      <c r="D7" s="54"/>
      <c r="E7" s="54">
        <v>13413.37</v>
      </c>
    </row>
    <row r="8" spans="1:15" ht="15" thickBot="1" x14ac:dyDescent="0.25">
      <c r="A8" s="51">
        <v>2050</v>
      </c>
      <c r="B8" s="51" t="s">
        <v>43</v>
      </c>
      <c r="C8" s="55">
        <f>Hovedbok!J152</f>
        <v>-3448641.02</v>
      </c>
      <c r="D8" s="54"/>
      <c r="E8" s="54">
        <v>-598982.54</v>
      </c>
      <c r="F8" s="56"/>
      <c r="G8" s="51" t="s">
        <v>317</v>
      </c>
      <c r="I8" s="179" t="s">
        <v>153</v>
      </c>
      <c r="J8" s="53">
        <v>2024</v>
      </c>
      <c r="L8" s="51" t="s">
        <v>406</v>
      </c>
      <c r="N8" s="51">
        <v>2023</v>
      </c>
      <c r="O8" s="51">
        <v>2024</v>
      </c>
    </row>
    <row r="9" spans="1:15" ht="15.75" thickBot="1" x14ac:dyDescent="0.3">
      <c r="A9" s="51">
        <v>2400</v>
      </c>
      <c r="B9" s="51" t="s">
        <v>1</v>
      </c>
      <c r="C9" s="54">
        <f>Hovedbok!K152</f>
        <v>0</v>
      </c>
      <c r="D9" s="54"/>
      <c r="E9" s="54">
        <v>0</v>
      </c>
      <c r="F9" s="56"/>
      <c r="G9" s="181" t="s">
        <v>61</v>
      </c>
      <c r="H9" s="182" t="s">
        <v>208</v>
      </c>
      <c r="I9" s="180">
        <v>-10660</v>
      </c>
      <c r="J9" s="239">
        <v>-11000</v>
      </c>
      <c r="L9" s="120" t="s">
        <v>167</v>
      </c>
      <c r="M9" s="121" t="s">
        <v>186</v>
      </c>
      <c r="N9" s="163"/>
      <c r="O9" s="163"/>
    </row>
    <row r="10" spans="1:15" ht="15.75" thickBot="1" x14ac:dyDescent="0.3">
      <c r="A10" s="51">
        <v>2600</v>
      </c>
      <c r="B10" s="51" t="s">
        <v>372</v>
      </c>
      <c r="C10" s="54">
        <f>Hovedbok!L152</f>
        <v>0</v>
      </c>
      <c r="D10" s="54"/>
      <c r="E10" s="54">
        <v>-13300</v>
      </c>
      <c r="F10" s="56"/>
      <c r="G10" s="181" t="s">
        <v>328</v>
      </c>
      <c r="H10" s="182" t="s">
        <v>319</v>
      </c>
      <c r="I10" s="180">
        <v>0</v>
      </c>
      <c r="J10" s="239">
        <v>-1000</v>
      </c>
      <c r="L10" s="120" t="s">
        <v>171</v>
      </c>
      <c r="M10" s="121" t="s">
        <v>190</v>
      </c>
      <c r="N10" s="163"/>
      <c r="O10" s="163"/>
    </row>
    <row r="11" spans="1:15" ht="15.75" thickBot="1" x14ac:dyDescent="0.3">
      <c r="A11" s="117">
        <v>2990</v>
      </c>
      <c r="B11" s="117" t="s">
        <v>46</v>
      </c>
      <c r="C11" s="118">
        <f>Hovedbok!M152</f>
        <v>0</v>
      </c>
      <c r="D11" s="118"/>
      <c r="E11" s="118">
        <v>-113413.37</v>
      </c>
      <c r="F11" s="56"/>
      <c r="G11" s="181" t="s">
        <v>329</v>
      </c>
      <c r="H11" s="182" t="s">
        <v>320</v>
      </c>
      <c r="I11" s="180">
        <v>0</v>
      </c>
      <c r="J11" s="239">
        <v>-25000</v>
      </c>
      <c r="L11" s="120" t="s">
        <v>172</v>
      </c>
      <c r="M11" s="121" t="s">
        <v>191</v>
      </c>
      <c r="N11" s="163"/>
      <c r="O11" s="163"/>
    </row>
    <row r="12" spans="1:15" ht="15.75" thickBot="1" x14ac:dyDescent="0.3">
      <c r="A12" s="195" t="s">
        <v>61</v>
      </c>
      <c r="B12" s="51" t="s">
        <v>208</v>
      </c>
      <c r="C12" s="225">
        <f>Hovedbok!N152</f>
        <v>-10420</v>
      </c>
      <c r="D12" s="225">
        <v>-11000</v>
      </c>
      <c r="E12" s="225">
        <v>-10660</v>
      </c>
      <c r="G12" s="181" t="s">
        <v>330</v>
      </c>
      <c r="H12" s="182" t="s">
        <v>339</v>
      </c>
      <c r="I12" s="180">
        <v>0</v>
      </c>
      <c r="J12" s="239">
        <v>-500</v>
      </c>
      <c r="L12" s="120" t="s">
        <v>175</v>
      </c>
      <c r="M12" s="121" t="s">
        <v>194</v>
      </c>
      <c r="N12" s="163"/>
      <c r="O12" s="163"/>
    </row>
    <row r="13" spans="1:15" ht="15.75" thickBot="1" x14ac:dyDescent="0.3">
      <c r="A13" s="195" t="s">
        <v>328</v>
      </c>
      <c r="B13" s="51" t="s">
        <v>319</v>
      </c>
      <c r="C13" s="225">
        <f>Hovedbok!O152</f>
        <v>-816</v>
      </c>
      <c r="D13" s="225">
        <v>-1000</v>
      </c>
      <c r="E13" s="225">
        <v>0</v>
      </c>
      <c r="G13" s="181" t="s">
        <v>334</v>
      </c>
      <c r="H13" s="182" t="s">
        <v>335</v>
      </c>
      <c r="I13" s="180">
        <v>0</v>
      </c>
      <c r="J13" s="239">
        <v>0</v>
      </c>
      <c r="L13" s="120" t="s">
        <v>178</v>
      </c>
      <c r="M13" s="121" t="s">
        <v>197</v>
      </c>
      <c r="N13" s="163"/>
      <c r="O13" s="163"/>
    </row>
    <row r="14" spans="1:15" ht="15.75" thickBot="1" x14ac:dyDescent="0.3">
      <c r="A14" s="195" t="s">
        <v>329</v>
      </c>
      <c r="B14" s="51" t="s">
        <v>407</v>
      </c>
      <c r="C14" s="225">
        <f>Hovedbok!P152</f>
        <v>0</v>
      </c>
      <c r="D14" s="225">
        <v>-25000</v>
      </c>
      <c r="E14" s="225">
        <v>0</v>
      </c>
      <c r="G14" s="181" t="s">
        <v>336</v>
      </c>
      <c r="H14" s="182" t="s">
        <v>337</v>
      </c>
      <c r="I14" s="180">
        <v>0</v>
      </c>
      <c r="J14" s="239">
        <v>0</v>
      </c>
    </row>
    <row r="15" spans="1:15" ht="15.75" thickBot="1" x14ac:dyDescent="0.3">
      <c r="A15" s="195" t="s">
        <v>330</v>
      </c>
      <c r="B15" s="51" t="s">
        <v>339</v>
      </c>
      <c r="C15" s="225">
        <f>Hovedbok!Q152</f>
        <v>0</v>
      </c>
      <c r="D15" s="225">
        <v>-500</v>
      </c>
      <c r="E15" s="225">
        <v>0</v>
      </c>
      <c r="G15" s="181" t="s">
        <v>338</v>
      </c>
      <c r="H15" s="182" t="s">
        <v>342</v>
      </c>
      <c r="I15" s="180">
        <v>0</v>
      </c>
      <c r="J15" s="239">
        <v>0</v>
      </c>
      <c r="L15" s="120" t="s">
        <v>184</v>
      </c>
      <c r="M15" s="121" t="s">
        <v>202</v>
      </c>
      <c r="N15" s="163"/>
      <c r="O15" s="163"/>
    </row>
    <row r="16" spans="1:15" ht="15.75" thickBot="1" x14ac:dyDescent="0.3">
      <c r="A16" s="195" t="s">
        <v>334</v>
      </c>
      <c r="B16" s="51" t="s">
        <v>335</v>
      </c>
      <c r="C16" s="225">
        <f>Hovedbok!R152</f>
        <v>0</v>
      </c>
      <c r="D16" s="225">
        <v>0</v>
      </c>
      <c r="E16" s="225">
        <v>0</v>
      </c>
      <c r="G16" s="181" t="s">
        <v>341</v>
      </c>
      <c r="H16" s="182" t="s">
        <v>189</v>
      </c>
      <c r="I16" s="180">
        <v>-5150</v>
      </c>
      <c r="J16" s="239">
        <v>-5000</v>
      </c>
      <c r="L16" s="120" t="s">
        <v>212</v>
      </c>
      <c r="M16" s="121" t="s">
        <v>213</v>
      </c>
      <c r="N16" s="163"/>
      <c r="O16" s="163"/>
    </row>
    <row r="17" spans="1:15" ht="15.75" thickBot="1" x14ac:dyDescent="0.3">
      <c r="A17" s="195" t="s">
        <v>336</v>
      </c>
      <c r="B17" s="51" t="s">
        <v>337</v>
      </c>
      <c r="C17" s="225">
        <f>Hovedbok!S152</f>
        <v>-6400</v>
      </c>
      <c r="D17" s="225">
        <v>0</v>
      </c>
      <c r="E17" s="225">
        <v>0</v>
      </c>
      <c r="G17" s="181" t="s">
        <v>324</v>
      </c>
      <c r="H17" s="182" t="s">
        <v>318</v>
      </c>
      <c r="I17" s="180">
        <v>0</v>
      </c>
      <c r="J17" s="180">
        <v>0</v>
      </c>
      <c r="K17" s="192"/>
      <c r="L17" s="161" t="s">
        <v>215</v>
      </c>
      <c r="M17" s="162" t="s">
        <v>216</v>
      </c>
      <c r="N17" s="163"/>
      <c r="O17" s="163"/>
    </row>
    <row r="18" spans="1:15" ht="15.75" thickBot="1" x14ac:dyDescent="0.3">
      <c r="A18" s="195" t="s">
        <v>338</v>
      </c>
      <c r="B18" s="51" t="s">
        <v>342</v>
      </c>
      <c r="C18" s="225">
        <f>Hovedbok!T152</f>
        <v>0</v>
      </c>
      <c r="D18" s="225">
        <v>0</v>
      </c>
      <c r="E18" s="225">
        <v>0</v>
      </c>
      <c r="G18" s="181" t="s">
        <v>325</v>
      </c>
      <c r="H18" s="182" t="s">
        <v>193</v>
      </c>
      <c r="I18" s="180">
        <v>-40000</v>
      </c>
      <c r="J18" s="239">
        <v>-50000</v>
      </c>
      <c r="L18" s="120" t="s">
        <v>219</v>
      </c>
      <c r="M18" s="121" t="s">
        <v>186</v>
      </c>
      <c r="N18" s="163"/>
      <c r="O18" s="163"/>
    </row>
    <row r="19" spans="1:15" ht="15.75" thickBot="1" x14ac:dyDescent="0.3">
      <c r="A19" s="195" t="s">
        <v>341</v>
      </c>
      <c r="B19" s="51" t="s">
        <v>449</v>
      </c>
      <c r="C19" s="225">
        <f>Hovedbok!U152</f>
        <v>-5800</v>
      </c>
      <c r="D19" s="225">
        <v>-5000</v>
      </c>
      <c r="E19" s="225">
        <v>-5150</v>
      </c>
      <c r="G19" s="181" t="s">
        <v>326</v>
      </c>
      <c r="H19" s="182" t="s">
        <v>198</v>
      </c>
      <c r="I19" s="180">
        <v>-13649.45</v>
      </c>
      <c r="J19" s="239">
        <v>-14000</v>
      </c>
      <c r="L19" s="120" t="s">
        <v>221</v>
      </c>
      <c r="M19" s="121" t="s">
        <v>222</v>
      </c>
      <c r="N19" s="163"/>
      <c r="O19" s="163"/>
    </row>
    <row r="20" spans="1:15" ht="15.75" thickBot="1" x14ac:dyDescent="0.3">
      <c r="A20" s="195" t="s">
        <v>324</v>
      </c>
      <c r="B20" s="51" t="s">
        <v>318</v>
      </c>
      <c r="C20" s="225">
        <f>Hovedbok!V152</f>
        <v>0</v>
      </c>
      <c r="D20" s="225">
        <v>0</v>
      </c>
      <c r="E20" s="225">
        <v>0</v>
      </c>
      <c r="G20" s="181" t="s">
        <v>322</v>
      </c>
      <c r="H20" s="182" t="s">
        <v>119</v>
      </c>
      <c r="I20" s="180">
        <v>-17325</v>
      </c>
      <c r="J20" s="239">
        <v>-12000</v>
      </c>
      <c r="L20" s="120" t="s">
        <v>237</v>
      </c>
      <c r="M20" s="121" t="s">
        <v>238</v>
      </c>
      <c r="N20" s="163"/>
      <c r="O20" s="163"/>
    </row>
    <row r="21" spans="1:15" ht="15.75" thickBot="1" x14ac:dyDescent="0.3">
      <c r="A21" s="195" t="s">
        <v>325</v>
      </c>
      <c r="B21" s="51" t="s">
        <v>193</v>
      </c>
      <c r="C21" s="225">
        <f>Hovedbok!W152</f>
        <v>-40000</v>
      </c>
      <c r="D21" s="225">
        <v>-50000</v>
      </c>
      <c r="E21" s="225">
        <v>-40000</v>
      </c>
      <c r="G21" s="181" t="s">
        <v>323</v>
      </c>
      <c r="H21" s="182" t="s">
        <v>200</v>
      </c>
      <c r="I21" s="180">
        <v>0</v>
      </c>
      <c r="J21" s="239">
        <v>-25000</v>
      </c>
      <c r="L21" s="120" t="s">
        <v>239</v>
      </c>
      <c r="M21" s="121" t="s">
        <v>240</v>
      </c>
      <c r="N21" s="163"/>
      <c r="O21" s="163"/>
    </row>
    <row r="22" spans="1:15" ht="15.75" thickBot="1" x14ac:dyDescent="0.3">
      <c r="A22" s="195" t="s">
        <v>326</v>
      </c>
      <c r="B22" s="51" t="s">
        <v>198</v>
      </c>
      <c r="C22" s="225">
        <f>Hovedbok!X152</f>
        <v>-15294.91</v>
      </c>
      <c r="D22" s="225">
        <v>-14000</v>
      </c>
      <c r="E22" s="225">
        <v>-13649.45</v>
      </c>
      <c r="G22" s="181" t="s">
        <v>327</v>
      </c>
      <c r="H22" s="182" t="s">
        <v>54</v>
      </c>
      <c r="I22" s="180">
        <v>-895</v>
      </c>
      <c r="J22" s="239">
        <v>-2800500</v>
      </c>
      <c r="L22" s="120" t="s">
        <v>245</v>
      </c>
      <c r="M22" s="121" t="s">
        <v>246</v>
      </c>
      <c r="N22" s="163"/>
      <c r="O22" s="163"/>
    </row>
    <row r="23" spans="1:15" ht="15.75" thickBot="1" x14ac:dyDescent="0.3">
      <c r="A23" s="195" t="s">
        <v>322</v>
      </c>
      <c r="B23" s="51" t="s">
        <v>119</v>
      </c>
      <c r="C23" s="225">
        <f>Hovedbok!Y152</f>
        <v>-15743</v>
      </c>
      <c r="D23" s="225">
        <v>-12000</v>
      </c>
      <c r="E23" s="225">
        <v>-17325</v>
      </c>
      <c r="G23" s="181">
        <v>3900</v>
      </c>
      <c r="H23" s="182" t="s">
        <v>10</v>
      </c>
      <c r="I23" s="53">
        <v>-34640.629999999997</v>
      </c>
      <c r="J23" s="53">
        <v>-25000</v>
      </c>
      <c r="L23" s="120" t="s">
        <v>249</v>
      </c>
      <c r="M23" s="121" t="s">
        <v>250</v>
      </c>
      <c r="N23" s="163"/>
      <c r="O23" s="163"/>
    </row>
    <row r="24" spans="1:15" ht="15.75" thickBot="1" x14ac:dyDescent="0.3">
      <c r="A24" s="195" t="s">
        <v>323</v>
      </c>
      <c r="B24" s="51" t="s">
        <v>200</v>
      </c>
      <c r="C24" s="225">
        <f>Hovedbok!Z152</f>
        <v>-15000</v>
      </c>
      <c r="D24" s="225">
        <v>-25000</v>
      </c>
      <c r="E24" s="225">
        <v>0</v>
      </c>
      <c r="G24" s="183" t="s">
        <v>210</v>
      </c>
      <c r="H24" s="182" t="s">
        <v>343</v>
      </c>
      <c r="I24" s="180">
        <v>22217</v>
      </c>
      <c r="J24" s="239">
        <v>25000</v>
      </c>
      <c r="L24" s="120" t="s">
        <v>253</v>
      </c>
      <c r="M24" s="121" t="s">
        <v>254</v>
      </c>
      <c r="N24" s="163"/>
      <c r="O24" s="163"/>
    </row>
    <row r="25" spans="1:15" ht="15.75" thickBot="1" x14ac:dyDescent="0.3">
      <c r="A25" s="195" t="s">
        <v>327</v>
      </c>
      <c r="B25" s="51" t="s">
        <v>54</v>
      </c>
      <c r="C25" s="225">
        <f>Hovedbok!AA152</f>
        <v>-2858717.73</v>
      </c>
      <c r="D25" s="225">
        <v>-2800500</v>
      </c>
      <c r="E25" s="225">
        <v>-895</v>
      </c>
      <c r="F25" s="56"/>
      <c r="G25" s="183" t="s">
        <v>137</v>
      </c>
      <c r="H25" s="182" t="s">
        <v>340</v>
      </c>
      <c r="I25" s="180">
        <v>13300</v>
      </c>
      <c r="J25" s="239">
        <v>14000</v>
      </c>
      <c r="L25" s="120" t="s">
        <v>261</v>
      </c>
      <c r="M25" s="121" t="s">
        <v>262</v>
      </c>
      <c r="N25" s="163"/>
      <c r="O25" s="163"/>
    </row>
    <row r="26" spans="1:15" ht="15.75" thickBot="1" x14ac:dyDescent="0.3">
      <c r="A26" s="195">
        <v>3900</v>
      </c>
      <c r="B26" s="51" t="s">
        <v>10</v>
      </c>
      <c r="C26" s="225">
        <f>Hovedbok!AB152</f>
        <v>0</v>
      </c>
      <c r="D26" s="225">
        <v>-25000</v>
      </c>
      <c r="E26" s="225">
        <v>-34640.629999999997</v>
      </c>
      <c r="G26" s="184" t="s">
        <v>233</v>
      </c>
      <c r="H26" s="182" t="s">
        <v>234</v>
      </c>
      <c r="I26" s="180">
        <v>19300</v>
      </c>
      <c r="J26" s="239">
        <v>15000</v>
      </c>
      <c r="L26" s="120" t="s">
        <v>74</v>
      </c>
      <c r="M26" s="121" t="s">
        <v>263</v>
      </c>
      <c r="N26" s="163"/>
      <c r="O26" s="163"/>
    </row>
    <row r="27" spans="1:15" ht="15.75" thickBot="1" x14ac:dyDescent="0.3">
      <c r="A27" s="233" t="s">
        <v>210</v>
      </c>
      <c r="B27" s="234" t="s">
        <v>343</v>
      </c>
      <c r="C27" s="225">
        <f>Hovedbok!AC152</f>
        <v>0</v>
      </c>
      <c r="D27" s="56">
        <v>0</v>
      </c>
      <c r="E27" s="225">
        <v>0</v>
      </c>
      <c r="G27" s="183">
        <v>6720</v>
      </c>
      <c r="H27" s="182" t="s">
        <v>156</v>
      </c>
      <c r="I27" s="180">
        <v>68173.14</v>
      </c>
      <c r="J27" s="239">
        <v>30000</v>
      </c>
      <c r="L27" s="120" t="s">
        <v>265</v>
      </c>
      <c r="M27" s="121" t="s">
        <v>266</v>
      </c>
      <c r="N27" s="163"/>
      <c r="O27" s="163"/>
    </row>
    <row r="28" spans="1:15" ht="15.75" thickBot="1" x14ac:dyDescent="0.3">
      <c r="A28" s="195" t="s">
        <v>137</v>
      </c>
      <c r="B28" s="51" t="s">
        <v>340</v>
      </c>
      <c r="C28" s="225">
        <f>Hovedbok!AD152</f>
        <v>16700</v>
      </c>
      <c r="D28" s="56">
        <v>14000</v>
      </c>
      <c r="E28" s="225">
        <v>13300</v>
      </c>
      <c r="G28" s="183" t="s">
        <v>321</v>
      </c>
      <c r="H28" s="182" t="s">
        <v>3</v>
      </c>
      <c r="I28" s="180">
        <v>3435</v>
      </c>
      <c r="J28" s="239">
        <v>6000</v>
      </c>
      <c r="L28" s="120" t="s">
        <v>269</v>
      </c>
      <c r="M28" s="121" t="s">
        <v>270</v>
      </c>
      <c r="N28" s="163"/>
      <c r="O28" s="163"/>
    </row>
    <row r="29" spans="1:15" ht="15.75" thickBot="1" x14ac:dyDescent="0.3">
      <c r="A29" s="233" t="s">
        <v>233</v>
      </c>
      <c r="B29" s="234" t="s">
        <v>401</v>
      </c>
      <c r="C29" s="235">
        <f>Hovedbok!AE152</f>
        <v>0</v>
      </c>
      <c r="D29" s="235">
        <v>0</v>
      </c>
      <c r="E29" s="235">
        <v>0</v>
      </c>
      <c r="G29" s="183" t="s">
        <v>129</v>
      </c>
      <c r="H29" s="182" t="s">
        <v>128</v>
      </c>
      <c r="I29" s="180">
        <v>740</v>
      </c>
      <c r="J29" s="239">
        <v>1500</v>
      </c>
      <c r="L29" s="120" t="s">
        <v>276</v>
      </c>
      <c r="M29" s="121" t="s">
        <v>277</v>
      </c>
      <c r="N29" s="163"/>
      <c r="O29" s="163"/>
    </row>
    <row r="30" spans="1:15" ht="15.75" thickBot="1" x14ac:dyDescent="0.3">
      <c r="A30" s="195">
        <v>6720</v>
      </c>
      <c r="B30" s="51" t="s">
        <v>156</v>
      </c>
      <c r="C30" s="225">
        <f>Hovedbok!AF152</f>
        <v>13900.940000000002</v>
      </c>
      <c r="D30" s="225">
        <v>30000</v>
      </c>
      <c r="E30" s="225">
        <v>68173.14</v>
      </c>
      <c r="G30" s="183" t="s">
        <v>130</v>
      </c>
      <c r="H30" s="182" t="s">
        <v>257</v>
      </c>
      <c r="I30" s="180">
        <v>1761</v>
      </c>
      <c r="J30" s="239">
        <v>2000</v>
      </c>
      <c r="L30" s="120" t="s">
        <v>278</v>
      </c>
      <c r="M30" s="121" t="s">
        <v>279</v>
      </c>
      <c r="N30" s="163"/>
      <c r="O30" s="163"/>
    </row>
    <row r="31" spans="1:15" ht="15.75" thickBot="1" x14ac:dyDescent="0.3">
      <c r="A31" s="195" t="s">
        <v>321</v>
      </c>
      <c r="B31" s="51" t="s">
        <v>3</v>
      </c>
      <c r="C31" s="225">
        <f>Hovedbok!AG152</f>
        <v>0</v>
      </c>
      <c r="D31" s="225">
        <v>6000</v>
      </c>
      <c r="E31" s="225">
        <v>3435</v>
      </c>
      <c r="G31" s="183" t="s">
        <v>258</v>
      </c>
      <c r="H31" s="182" t="s">
        <v>259</v>
      </c>
      <c r="I31" s="180">
        <v>1729</v>
      </c>
      <c r="J31" s="239">
        <v>1800</v>
      </c>
      <c r="L31" s="120" t="s">
        <v>280</v>
      </c>
      <c r="M31" s="121" t="s">
        <v>281</v>
      </c>
      <c r="N31" s="163"/>
      <c r="O31" s="163"/>
    </row>
    <row r="32" spans="1:15" ht="15.75" thickBot="1" x14ac:dyDescent="0.3">
      <c r="A32" s="195" t="s">
        <v>129</v>
      </c>
      <c r="B32" s="51" t="s">
        <v>128</v>
      </c>
      <c r="C32" s="225">
        <f>Hovedbok!AH152</f>
        <v>17947.3</v>
      </c>
      <c r="D32" s="225">
        <v>1500</v>
      </c>
      <c r="E32" s="225">
        <v>740</v>
      </c>
      <c r="G32" s="183" t="s">
        <v>62</v>
      </c>
      <c r="H32" s="182" t="s">
        <v>224</v>
      </c>
      <c r="I32" s="180">
        <v>2512</v>
      </c>
      <c r="J32" s="239">
        <v>4000</v>
      </c>
    </row>
    <row r="33" spans="1:14" ht="15.75" thickBot="1" x14ac:dyDescent="0.3">
      <c r="A33" s="195" t="s">
        <v>130</v>
      </c>
      <c r="B33" s="51" t="s">
        <v>257</v>
      </c>
      <c r="C33" s="225">
        <f>Hovedbok!AI152</f>
        <v>0</v>
      </c>
      <c r="D33" s="225">
        <v>2000</v>
      </c>
      <c r="E33" s="225">
        <v>1761</v>
      </c>
      <c r="G33" s="183" t="s">
        <v>261</v>
      </c>
      <c r="H33" s="182" t="s">
        <v>260</v>
      </c>
      <c r="I33" s="180">
        <v>591.67999999999995</v>
      </c>
      <c r="J33" s="239">
        <v>500</v>
      </c>
      <c r="L33" s="191"/>
      <c r="M33" s="191"/>
    </row>
    <row r="34" spans="1:14" ht="15.75" thickBot="1" x14ac:dyDescent="0.3">
      <c r="A34" s="195" t="s">
        <v>258</v>
      </c>
      <c r="B34" s="51" t="s">
        <v>259</v>
      </c>
      <c r="C34" s="225">
        <f>Hovedbok!AJ152</f>
        <v>0</v>
      </c>
      <c r="D34" s="225">
        <v>1800</v>
      </c>
      <c r="E34" s="225">
        <v>1729</v>
      </c>
      <c r="G34" s="183" t="s">
        <v>74</v>
      </c>
      <c r="H34" s="182" t="s">
        <v>190</v>
      </c>
      <c r="I34" s="180">
        <v>20000</v>
      </c>
      <c r="J34" s="239">
        <v>25000</v>
      </c>
    </row>
    <row r="35" spans="1:14" ht="15.75" thickBot="1" x14ac:dyDescent="0.3">
      <c r="A35" s="195">
        <v>7135</v>
      </c>
      <c r="B35" s="51" t="s">
        <v>260</v>
      </c>
      <c r="C35" s="225">
        <f>Hovedbok!AK152</f>
        <v>0</v>
      </c>
      <c r="D35" s="225">
        <v>500</v>
      </c>
      <c r="E35" s="225">
        <v>591.67999999999995</v>
      </c>
      <c r="G35" s="183" t="s">
        <v>134</v>
      </c>
      <c r="H35" s="182" t="s">
        <v>227</v>
      </c>
      <c r="I35" s="180">
        <v>44082.65</v>
      </c>
      <c r="J35" s="239">
        <v>45000</v>
      </c>
    </row>
    <row r="36" spans="1:14" ht="15.75" thickBot="1" x14ac:dyDescent="0.3">
      <c r="A36" s="195">
        <v>7140</v>
      </c>
      <c r="B36" s="51" t="s">
        <v>400</v>
      </c>
      <c r="C36" s="225">
        <f>Hovedbok!AL152</f>
        <v>-41776</v>
      </c>
      <c r="D36" s="225">
        <v>15000</v>
      </c>
      <c r="E36" s="225">
        <v>19300</v>
      </c>
      <c r="G36" s="183" t="s">
        <v>135</v>
      </c>
      <c r="H36" s="182" t="s">
        <v>187</v>
      </c>
      <c r="I36" s="180">
        <v>0</v>
      </c>
      <c r="J36" s="239">
        <v>1500</v>
      </c>
    </row>
    <row r="37" spans="1:14" ht="15.75" thickBot="1" x14ac:dyDescent="0.3">
      <c r="A37" s="195">
        <v>7141</v>
      </c>
      <c r="B37" s="51" t="s">
        <v>224</v>
      </c>
      <c r="C37" s="225">
        <f>Hovedbok!AM152</f>
        <v>0</v>
      </c>
      <c r="D37" s="225">
        <v>4000</v>
      </c>
      <c r="E37" s="225">
        <v>2512</v>
      </c>
      <c r="G37" s="183" t="s">
        <v>63</v>
      </c>
      <c r="H37" s="182" t="s">
        <v>194</v>
      </c>
      <c r="I37" s="180">
        <v>0</v>
      </c>
      <c r="J37" s="239">
        <v>500</v>
      </c>
      <c r="N37" s="194"/>
    </row>
    <row r="38" spans="1:14" ht="15.75" thickBot="1" x14ac:dyDescent="0.3">
      <c r="A38" s="195">
        <v>7142</v>
      </c>
      <c r="B38" s="51" t="s">
        <v>190</v>
      </c>
      <c r="C38" s="225">
        <f>Hovedbok!AN152</f>
        <v>16568</v>
      </c>
      <c r="D38" s="225">
        <v>25000</v>
      </c>
      <c r="E38" s="225">
        <v>20000</v>
      </c>
      <c r="G38" s="183" t="s">
        <v>136</v>
      </c>
      <c r="H38" s="182" t="s">
        <v>232</v>
      </c>
      <c r="I38" s="180">
        <v>0</v>
      </c>
      <c r="J38" s="239">
        <v>38000</v>
      </c>
      <c r="N38" s="194"/>
    </row>
    <row r="39" spans="1:14" ht="15.75" thickBot="1" x14ac:dyDescent="0.3">
      <c r="A39" s="195">
        <v>7143</v>
      </c>
      <c r="B39" s="51" t="s">
        <v>227</v>
      </c>
      <c r="C39" s="225">
        <f>Hovedbok!AO152</f>
        <v>59356.539999999994</v>
      </c>
      <c r="D39" s="225">
        <v>45000</v>
      </c>
      <c r="E39" s="225">
        <f>44082.65+22217</f>
        <v>66299.649999999994</v>
      </c>
      <c r="G39" s="183" t="s">
        <v>347</v>
      </c>
      <c r="H39" s="182" t="s">
        <v>264</v>
      </c>
      <c r="I39" s="180">
        <v>1287.8499999999999</v>
      </c>
      <c r="J39" s="239">
        <v>1500</v>
      </c>
      <c r="N39" s="194"/>
    </row>
    <row r="40" spans="1:14" ht="15.75" thickBot="1" x14ac:dyDescent="0.3">
      <c r="A40" s="195">
        <v>7144</v>
      </c>
      <c r="B40" s="51" t="s">
        <v>187</v>
      </c>
      <c r="C40" s="225">
        <f>Hovedbok!AP152</f>
        <v>58161.5</v>
      </c>
      <c r="D40" s="225">
        <v>1500</v>
      </c>
      <c r="E40" s="225">
        <v>0</v>
      </c>
      <c r="G40" s="183" t="s">
        <v>64</v>
      </c>
      <c r="H40" s="182" t="s">
        <v>53</v>
      </c>
      <c r="I40" s="180">
        <v>3099</v>
      </c>
      <c r="J40" s="239">
        <v>2700</v>
      </c>
    </row>
    <row r="41" spans="1:14" ht="15.75" thickBot="1" x14ac:dyDescent="0.3">
      <c r="A41" s="195">
        <v>7145</v>
      </c>
      <c r="B41" s="51" t="s">
        <v>194</v>
      </c>
      <c r="C41" s="225">
        <f>Hovedbok!AQ152</f>
        <v>0</v>
      </c>
      <c r="D41" s="225">
        <v>500</v>
      </c>
      <c r="E41" s="225">
        <v>0</v>
      </c>
      <c r="G41" s="183" t="s">
        <v>65</v>
      </c>
      <c r="H41" s="182" t="s">
        <v>218</v>
      </c>
      <c r="I41" s="180">
        <v>0</v>
      </c>
      <c r="J41" s="239">
        <v>600</v>
      </c>
    </row>
    <row r="42" spans="1:14" ht="15" x14ac:dyDescent="0.25">
      <c r="A42" s="195">
        <v>7146</v>
      </c>
      <c r="B42" s="51" t="s">
        <v>232</v>
      </c>
      <c r="C42" s="225">
        <f>Hovedbok!AR152</f>
        <v>42844</v>
      </c>
      <c r="D42" s="225">
        <v>38000</v>
      </c>
      <c r="E42" s="225">
        <v>0</v>
      </c>
      <c r="G42" s="185" t="s">
        <v>66</v>
      </c>
      <c r="H42" s="186" t="s">
        <v>273</v>
      </c>
      <c r="I42" s="187">
        <v>6202</v>
      </c>
      <c r="J42" s="240">
        <v>8000</v>
      </c>
    </row>
    <row r="43" spans="1:14" ht="15.75" thickBot="1" x14ac:dyDescent="0.3">
      <c r="A43" s="195">
        <v>7147</v>
      </c>
      <c r="B43" s="51" t="s">
        <v>264</v>
      </c>
      <c r="C43" s="225">
        <f>Hovedbok!AS152</f>
        <v>4062</v>
      </c>
      <c r="D43" s="225">
        <f>1500+25000</f>
        <v>26500</v>
      </c>
      <c r="E43" s="225">
        <v>1287.8499999999999</v>
      </c>
      <c r="G43" s="188" t="s">
        <v>66</v>
      </c>
      <c r="H43" s="189" t="s">
        <v>7</v>
      </c>
      <c r="I43" s="190">
        <v>9648.7000000000007</v>
      </c>
      <c r="J43" s="241">
        <v>12000</v>
      </c>
    </row>
    <row r="44" spans="1:14" ht="15.75" thickBot="1" x14ac:dyDescent="0.3">
      <c r="A44" s="195">
        <v>7148</v>
      </c>
      <c r="B44" s="51" t="s">
        <v>404</v>
      </c>
      <c r="C44" s="225">
        <f>Hovedbok!AT152</f>
        <v>9216</v>
      </c>
      <c r="D44" s="225">
        <v>0</v>
      </c>
      <c r="E44" s="225">
        <v>0</v>
      </c>
      <c r="G44" s="183" t="s">
        <v>331</v>
      </c>
      <c r="H44" s="182" t="s">
        <v>333</v>
      </c>
      <c r="I44" s="180">
        <v>1.4</v>
      </c>
      <c r="J44" s="239">
        <v>0</v>
      </c>
    </row>
    <row r="45" spans="1:14" ht="15.75" thickBot="1" x14ac:dyDescent="0.3">
      <c r="A45" s="195" t="s">
        <v>64</v>
      </c>
      <c r="B45" s="51" t="s">
        <v>53</v>
      </c>
      <c r="C45" s="225">
        <f>Hovedbok!AU152</f>
        <v>2200</v>
      </c>
      <c r="D45" s="225">
        <v>2700</v>
      </c>
      <c r="E45" s="225">
        <v>3099</v>
      </c>
      <c r="G45" s="183">
        <v>7770</v>
      </c>
      <c r="H45" s="182" t="s">
        <v>346</v>
      </c>
      <c r="I45" s="53">
        <v>0</v>
      </c>
      <c r="J45" s="53">
        <v>0</v>
      </c>
    </row>
    <row r="46" spans="1:14" ht="15.75" thickBot="1" x14ac:dyDescent="0.3">
      <c r="A46" s="195" t="s">
        <v>65</v>
      </c>
      <c r="B46" s="51" t="s">
        <v>218</v>
      </c>
      <c r="C46" s="225">
        <f>Hovedbok!AV152</f>
        <v>0</v>
      </c>
      <c r="D46" s="225">
        <v>600</v>
      </c>
      <c r="E46" s="225">
        <v>0</v>
      </c>
      <c r="G46" s="183" t="s">
        <v>332</v>
      </c>
      <c r="H46" s="182" t="s">
        <v>5</v>
      </c>
      <c r="I46" s="180">
        <v>-19345</v>
      </c>
      <c r="J46" s="239">
        <v>-80000</v>
      </c>
    </row>
    <row r="47" spans="1:14" ht="15.75" thickBot="1" x14ac:dyDescent="0.3">
      <c r="A47" s="195" t="s">
        <v>66</v>
      </c>
      <c r="B47" s="51" t="s">
        <v>273</v>
      </c>
      <c r="C47" s="225">
        <f>Hovedbok!AW152</f>
        <v>7987</v>
      </c>
      <c r="D47" s="225">
        <v>8000</v>
      </c>
      <c r="E47" s="225">
        <v>6202</v>
      </c>
      <c r="G47" s="183">
        <v>8150</v>
      </c>
      <c r="H47" s="51" t="s">
        <v>345</v>
      </c>
      <c r="I47" s="53">
        <v>0</v>
      </c>
      <c r="J47" s="53">
        <v>0</v>
      </c>
    </row>
    <row r="48" spans="1:14" ht="15.75" thickBot="1" x14ac:dyDescent="0.3">
      <c r="A48" s="195" t="s">
        <v>66</v>
      </c>
      <c r="B48" s="51" t="s">
        <v>7</v>
      </c>
      <c r="C48" s="225">
        <f>Hovedbok!AX152</f>
        <v>9427.5199999999986</v>
      </c>
      <c r="D48" s="225">
        <v>12000</v>
      </c>
      <c r="E48" s="225">
        <v>9648.7000000000007</v>
      </c>
      <c r="F48" s="56"/>
      <c r="G48" s="183" t="s">
        <v>285</v>
      </c>
      <c r="H48" s="182" t="s">
        <v>31</v>
      </c>
      <c r="I48" s="180">
        <v>585</v>
      </c>
      <c r="J48" s="239">
        <v>800</v>
      </c>
      <c r="K48" s="53"/>
    </row>
    <row r="49" spans="1:10" x14ac:dyDescent="0.2">
      <c r="A49" s="195" t="s">
        <v>331</v>
      </c>
      <c r="B49" s="51" t="s">
        <v>333</v>
      </c>
      <c r="C49" s="225">
        <f>Hovedbok!AY152</f>
        <v>0</v>
      </c>
      <c r="D49" s="225">
        <v>0</v>
      </c>
      <c r="E49" s="225">
        <v>1.4</v>
      </c>
      <c r="I49" s="53">
        <f>SUM(I9:I48)</f>
        <v>77000.340000000011</v>
      </c>
      <c r="J49" s="53">
        <f>SUM(J9:J48)</f>
        <v>-2813600</v>
      </c>
    </row>
    <row r="50" spans="1:10" x14ac:dyDescent="0.2">
      <c r="A50" s="195">
        <v>7770</v>
      </c>
      <c r="B50" s="51" t="s">
        <v>346</v>
      </c>
      <c r="C50" s="225">
        <f>Hovedbok!AZ152</f>
        <v>642.36</v>
      </c>
      <c r="D50" s="225">
        <v>0</v>
      </c>
      <c r="E50" s="225">
        <v>0</v>
      </c>
    </row>
    <row r="51" spans="1:10" x14ac:dyDescent="0.2">
      <c r="A51" s="195" t="s">
        <v>332</v>
      </c>
      <c r="B51" s="51" t="s">
        <v>5</v>
      </c>
      <c r="C51" s="225">
        <f>Hovedbok!BA152</f>
        <v>-97030</v>
      </c>
      <c r="D51" s="225">
        <v>-80000</v>
      </c>
      <c r="E51" s="225">
        <v>-19345</v>
      </c>
    </row>
    <row r="52" spans="1:10" x14ac:dyDescent="0.2">
      <c r="A52" s="195">
        <v>8070</v>
      </c>
      <c r="B52" s="51" t="s">
        <v>402</v>
      </c>
      <c r="C52" s="225">
        <f>Hovedbok!BB152</f>
        <v>-1674</v>
      </c>
      <c r="D52" s="225">
        <v>0</v>
      </c>
      <c r="E52" s="225">
        <v>0</v>
      </c>
      <c r="F52" s="56"/>
    </row>
    <row r="53" spans="1:10" x14ac:dyDescent="0.2">
      <c r="A53" s="195">
        <v>8150</v>
      </c>
      <c r="B53" s="51" t="s">
        <v>345</v>
      </c>
      <c r="C53" s="54">
        <f>Hovedbok!BC152</f>
        <v>0</v>
      </c>
      <c r="D53" s="54">
        <v>0</v>
      </c>
      <c r="E53" s="54">
        <v>0</v>
      </c>
    </row>
    <row r="54" spans="1:10" x14ac:dyDescent="0.2">
      <c r="A54" s="195" t="s">
        <v>285</v>
      </c>
      <c r="B54" s="51" t="s">
        <v>31</v>
      </c>
      <c r="C54" s="54">
        <f>Hovedbok!BD152</f>
        <v>0</v>
      </c>
      <c r="D54" s="54">
        <v>800</v>
      </c>
      <c r="E54" s="54">
        <v>585</v>
      </c>
    </row>
    <row r="55" spans="1:10" x14ac:dyDescent="0.2">
      <c r="A55" s="195">
        <v>8960</v>
      </c>
      <c r="B55" s="51" t="s">
        <v>6</v>
      </c>
      <c r="C55" s="54">
        <f>Hovedbok!J151*-1</f>
        <v>2849658.48</v>
      </c>
      <c r="D55" s="54"/>
      <c r="E55" s="54">
        <f>SUM(E12:E54)*-1</f>
        <v>-77000.340000000011</v>
      </c>
      <c r="F55" s="54"/>
    </row>
    <row r="56" spans="1:10" x14ac:dyDescent="0.2">
      <c r="C56" s="54">
        <f>SUM(C2:C55)</f>
        <v>0</v>
      </c>
      <c r="D56" s="54">
        <f>SUM(D12:D54)</f>
        <v>-2813600</v>
      </c>
      <c r="E56" s="54">
        <f>SUM(E2:E55)</f>
        <v>0</v>
      </c>
    </row>
    <row r="57" spans="1:10" x14ac:dyDescent="0.2">
      <c r="C57" s="54"/>
      <c r="D57" s="54"/>
      <c r="E57" s="54"/>
    </row>
    <row r="58" spans="1:10" x14ac:dyDescent="0.2">
      <c r="C58" s="54"/>
      <c r="D58" s="54"/>
      <c r="E58" s="54"/>
    </row>
    <row r="59" spans="1:10" x14ac:dyDescent="0.2">
      <c r="C59" s="54"/>
      <c r="D59" s="54"/>
      <c r="E59" s="54"/>
    </row>
    <row r="60" spans="1:10" x14ac:dyDescent="0.2">
      <c r="C60" s="54"/>
      <c r="D60" s="54"/>
      <c r="E60" s="54"/>
    </row>
    <row r="61" spans="1:10" x14ac:dyDescent="0.2">
      <c r="C61" s="54"/>
      <c r="D61" s="54"/>
      <c r="E61" s="54"/>
    </row>
    <row r="62" spans="1:10" x14ac:dyDescent="0.2">
      <c r="C62" s="54"/>
      <c r="D62" s="54"/>
      <c r="E62" s="54"/>
    </row>
    <row r="74" spans="9:9" ht="15" x14ac:dyDescent="0.25">
      <c r="I74" s="164"/>
    </row>
    <row r="75" spans="9:9" ht="15" x14ac:dyDescent="0.25">
      <c r="I75" s="164"/>
    </row>
    <row r="76" spans="9:9" ht="15" x14ac:dyDescent="0.25">
      <c r="I76" s="164"/>
    </row>
    <row r="77" spans="9:9" ht="15" x14ac:dyDescent="0.25">
      <c r="I77" s="164"/>
    </row>
    <row r="78" spans="9:9" ht="15" x14ac:dyDescent="0.25">
      <c r="I78" s="164"/>
    </row>
    <row r="79" spans="9:9" ht="15" x14ac:dyDescent="0.25">
      <c r="I79" s="164"/>
    </row>
    <row r="80" spans="9:9" x14ac:dyDescent="0.2">
      <c r="I80" s="165"/>
    </row>
  </sheetData>
  <sortState xmlns:xlrd2="http://schemas.microsoft.com/office/spreadsheetml/2017/richdata2" ref="A35:E51">
    <sortCondition ref="A35:A51"/>
  </sortState>
  <pageMargins left="0.70866141732283472" right="0.70866141732283472" top="0.78740157480314965" bottom="0.78740157480314965" header="0.31496062992125984" footer="0.31496062992125984"/>
  <pageSetup paperSize="9" scale="2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B4:J82"/>
  <sheetViews>
    <sheetView workbookViewId="0">
      <pane xSplit="3" topLeftCell="D1" activePane="topRight" state="frozen"/>
      <selection activeCell="A33" sqref="A33:XFD33"/>
      <selection pane="topRight" activeCell="A33" sqref="A33:XFD33"/>
    </sheetView>
  </sheetViews>
  <sheetFormatPr baseColWidth="10" defaultRowHeight="15" x14ac:dyDescent="0.25"/>
  <cols>
    <col min="3" max="3" width="44.28515625" customWidth="1"/>
    <col min="4" max="4" width="16.85546875" style="1" hidden="1" customWidth="1"/>
    <col min="5" max="5" width="12.5703125" hidden="1" customWidth="1"/>
    <col min="6" max="6" width="14.28515625" hidden="1" customWidth="1"/>
    <col min="7" max="7" width="13" hidden="1" customWidth="1"/>
    <col min="8" max="8" width="18" style="1" customWidth="1"/>
    <col min="9" max="9" width="13" style="1" customWidth="1"/>
    <col min="10" max="10" width="11.42578125" style="1"/>
  </cols>
  <sheetData>
    <row r="4" spans="2:10" x14ac:dyDescent="0.25">
      <c r="C4" s="122" t="s">
        <v>203</v>
      </c>
    </row>
    <row r="6" spans="2:10" x14ac:dyDescent="0.25">
      <c r="C6" s="113" t="s">
        <v>204</v>
      </c>
    </row>
    <row r="7" spans="2:10" ht="15.75" thickBot="1" x14ac:dyDescent="0.3"/>
    <row r="8" spans="2:10" ht="16.5" thickTop="1" thickBot="1" x14ac:dyDescent="0.3">
      <c r="B8" s="123" t="s">
        <v>205</v>
      </c>
      <c r="C8" s="124" t="s">
        <v>206</v>
      </c>
      <c r="D8" s="174" t="s">
        <v>145</v>
      </c>
      <c r="E8" s="125" t="s">
        <v>147</v>
      </c>
      <c r="F8" s="126" t="s">
        <v>146</v>
      </c>
      <c r="G8" s="126" t="s">
        <v>152</v>
      </c>
      <c r="H8" s="177" t="s">
        <v>155</v>
      </c>
      <c r="I8" s="177" t="s">
        <v>207</v>
      </c>
    </row>
    <row r="9" spans="2:10" ht="15.75" thickBot="1" x14ac:dyDescent="0.3">
      <c r="B9" s="120"/>
      <c r="C9" s="127"/>
      <c r="D9" s="175"/>
      <c r="E9" s="121"/>
      <c r="F9" s="128"/>
      <c r="G9" s="128"/>
      <c r="H9" s="163"/>
      <c r="I9" s="163"/>
      <c r="J9" s="166"/>
    </row>
    <row r="10" spans="2:10" ht="15.75" thickBot="1" x14ac:dyDescent="0.3">
      <c r="B10" s="120" t="s">
        <v>167</v>
      </c>
      <c r="C10" s="121" t="s">
        <v>186</v>
      </c>
      <c r="D10" s="175">
        <v>0</v>
      </c>
      <c r="E10" s="121">
        <v>0</v>
      </c>
      <c r="F10" s="128"/>
      <c r="G10" s="128"/>
      <c r="H10" s="163"/>
      <c r="I10" s="163"/>
      <c r="J10" s="167">
        <v>2</v>
      </c>
    </row>
    <row r="11" spans="2:10" ht="15.75" thickBot="1" x14ac:dyDescent="0.3">
      <c r="B11" s="120" t="s">
        <v>168</v>
      </c>
      <c r="C11" s="121" t="s">
        <v>187</v>
      </c>
      <c r="D11" s="175">
        <v>0</v>
      </c>
      <c r="E11" s="121">
        <v>500</v>
      </c>
      <c r="F11" s="128"/>
      <c r="G11" s="128"/>
      <c r="H11" s="163"/>
      <c r="I11" s="163">
        <v>1000</v>
      </c>
      <c r="J11" s="167"/>
    </row>
    <row r="12" spans="2:10" ht="15.75" thickBot="1" x14ac:dyDescent="0.3">
      <c r="B12" s="120" t="s">
        <v>169</v>
      </c>
      <c r="C12" s="121" t="s">
        <v>188</v>
      </c>
      <c r="D12" s="175">
        <v>0</v>
      </c>
      <c r="E12" s="121">
        <v>5000</v>
      </c>
      <c r="F12" s="128">
        <v>18000</v>
      </c>
      <c r="G12" s="128"/>
      <c r="H12" s="163"/>
      <c r="I12" s="163">
        <v>25000</v>
      </c>
      <c r="J12" s="167"/>
    </row>
    <row r="13" spans="2:10" ht="15.75" thickBot="1" x14ac:dyDescent="0.3">
      <c r="B13" s="120" t="s">
        <v>170</v>
      </c>
      <c r="C13" s="121" t="s">
        <v>189</v>
      </c>
      <c r="D13" s="175">
        <v>0</v>
      </c>
      <c r="E13" s="121">
        <v>2000</v>
      </c>
      <c r="F13" s="128">
        <v>2990</v>
      </c>
      <c r="G13" s="128">
        <v>3500</v>
      </c>
      <c r="H13" s="163">
        <v>5150</v>
      </c>
      <c r="I13" s="163">
        <v>5000</v>
      </c>
      <c r="J13" s="167">
        <v>3</v>
      </c>
    </row>
    <row r="14" spans="2:10" ht="15.75" thickBot="1" x14ac:dyDescent="0.3">
      <c r="B14" s="120" t="s">
        <v>171</v>
      </c>
      <c r="C14" s="121" t="s">
        <v>190</v>
      </c>
      <c r="D14" s="175">
        <v>0</v>
      </c>
      <c r="E14" s="121">
        <v>500</v>
      </c>
      <c r="F14" s="128"/>
      <c r="G14" s="128">
        <v>500</v>
      </c>
      <c r="H14" s="163"/>
      <c r="I14" s="163"/>
      <c r="J14" s="167"/>
    </row>
    <row r="15" spans="2:10" ht="15.75" thickBot="1" x14ac:dyDescent="0.3">
      <c r="B15" s="120" t="s">
        <v>172</v>
      </c>
      <c r="C15" s="121" t="s">
        <v>191</v>
      </c>
      <c r="D15" s="175">
        <v>0</v>
      </c>
      <c r="E15" s="121">
        <v>17000</v>
      </c>
      <c r="F15" s="128"/>
      <c r="G15" s="128"/>
      <c r="H15" s="163"/>
      <c r="I15" s="163"/>
      <c r="J15" s="167"/>
    </row>
    <row r="16" spans="2:10" ht="15.75" thickBot="1" x14ac:dyDescent="0.3">
      <c r="B16" s="120" t="s">
        <v>173</v>
      </c>
      <c r="C16" s="121" t="s">
        <v>192</v>
      </c>
      <c r="D16" s="175">
        <v>0</v>
      </c>
      <c r="E16" s="121">
        <v>0</v>
      </c>
      <c r="F16" s="128"/>
      <c r="G16" s="128"/>
      <c r="H16" s="163"/>
      <c r="I16" s="163">
        <v>2800000</v>
      </c>
      <c r="J16" s="167"/>
    </row>
    <row r="17" spans="2:10" ht="15.75" thickBot="1" x14ac:dyDescent="0.3">
      <c r="B17" s="120" t="s">
        <v>174</v>
      </c>
      <c r="C17" s="121" t="s">
        <v>193</v>
      </c>
      <c r="D17" s="175">
        <v>63750</v>
      </c>
      <c r="E17" s="121">
        <v>65000</v>
      </c>
      <c r="F17" s="128">
        <v>45000</v>
      </c>
      <c r="G17" s="128">
        <v>50000</v>
      </c>
      <c r="H17" s="163">
        <v>40000</v>
      </c>
      <c r="I17" s="163">
        <v>50000</v>
      </c>
      <c r="J17" s="167"/>
    </row>
    <row r="18" spans="2:10" ht="15.75" thickBot="1" x14ac:dyDescent="0.3">
      <c r="B18" s="120" t="s">
        <v>175</v>
      </c>
      <c r="C18" s="121" t="s">
        <v>194</v>
      </c>
      <c r="D18" s="175">
        <v>0</v>
      </c>
      <c r="E18" s="121">
        <v>500</v>
      </c>
      <c r="F18" s="128"/>
      <c r="G18" s="128"/>
      <c r="H18" s="163"/>
      <c r="I18" s="163"/>
      <c r="J18" s="167"/>
    </row>
    <row r="19" spans="2:10" ht="15.75" thickBot="1" x14ac:dyDescent="0.3">
      <c r="B19" s="120" t="s">
        <v>176</v>
      </c>
      <c r="C19" s="121" t="s">
        <v>195</v>
      </c>
      <c r="D19" s="175">
        <v>0</v>
      </c>
      <c r="E19" s="121">
        <v>500</v>
      </c>
      <c r="F19" s="128"/>
      <c r="G19" s="128">
        <v>500</v>
      </c>
      <c r="H19" s="163"/>
      <c r="I19" s="163">
        <v>500</v>
      </c>
      <c r="J19" s="166"/>
    </row>
    <row r="20" spans="2:10" ht="15.75" thickBot="1" x14ac:dyDescent="0.3">
      <c r="B20" s="120" t="s">
        <v>177</v>
      </c>
      <c r="C20" s="121" t="s">
        <v>196</v>
      </c>
      <c r="D20" s="175"/>
      <c r="E20" s="121"/>
      <c r="F20" s="128"/>
      <c r="G20" s="128"/>
      <c r="H20" s="163">
        <v>895</v>
      </c>
      <c r="I20" s="163">
        <v>500</v>
      </c>
      <c r="J20" s="167"/>
    </row>
    <row r="21" spans="2:10" ht="15.75" thickBot="1" x14ac:dyDescent="0.3">
      <c r="B21" s="120" t="s">
        <v>178</v>
      </c>
      <c r="C21" s="121" t="s">
        <v>197</v>
      </c>
      <c r="D21" s="175">
        <v>0</v>
      </c>
      <c r="E21" s="121">
        <v>0</v>
      </c>
      <c r="F21" s="128"/>
      <c r="G21" s="128">
        <v>500</v>
      </c>
      <c r="H21" s="163"/>
      <c r="I21" s="163"/>
      <c r="J21" s="168"/>
    </row>
    <row r="22" spans="2:10" ht="15.75" thickBot="1" x14ac:dyDescent="0.3">
      <c r="B22" s="120" t="s">
        <v>179</v>
      </c>
      <c r="C22" s="121" t="s">
        <v>198</v>
      </c>
      <c r="D22" s="175">
        <v>15801.83</v>
      </c>
      <c r="E22" s="121">
        <v>16000</v>
      </c>
      <c r="F22" s="128">
        <v>15650.43</v>
      </c>
      <c r="G22" s="128">
        <v>16000</v>
      </c>
      <c r="H22" s="163">
        <v>13649.45</v>
      </c>
      <c r="I22" s="163">
        <v>14000</v>
      </c>
      <c r="J22" s="167"/>
    </row>
    <row r="23" spans="2:10" ht="15.75" thickBot="1" x14ac:dyDescent="0.3">
      <c r="B23" s="120" t="s">
        <v>180</v>
      </c>
      <c r="C23" s="121" t="s">
        <v>199</v>
      </c>
      <c r="D23" s="175"/>
      <c r="E23" s="121"/>
      <c r="F23" s="128">
        <v>19602.189999999999</v>
      </c>
      <c r="G23" s="128">
        <v>20000</v>
      </c>
      <c r="H23" s="163">
        <v>34640.629999999997</v>
      </c>
      <c r="I23" s="163">
        <v>25000</v>
      </c>
      <c r="J23" s="167"/>
    </row>
    <row r="24" spans="2:10" ht="15.75" thickBot="1" x14ac:dyDescent="0.3">
      <c r="B24" s="120" t="s">
        <v>181</v>
      </c>
      <c r="C24" s="121" t="s">
        <v>200</v>
      </c>
      <c r="D24" s="175">
        <v>0</v>
      </c>
      <c r="E24" s="121">
        <v>35000</v>
      </c>
      <c r="F24" s="128">
        <v>15000</v>
      </c>
      <c r="G24" s="128">
        <v>10000</v>
      </c>
      <c r="H24" s="163"/>
      <c r="I24" s="163">
        <v>25000</v>
      </c>
      <c r="J24" s="167"/>
    </row>
    <row r="25" spans="2:10" ht="15.75" thickBot="1" x14ac:dyDescent="0.3">
      <c r="B25" s="120" t="s">
        <v>182</v>
      </c>
      <c r="C25" s="121" t="s">
        <v>201</v>
      </c>
      <c r="D25" s="175">
        <v>8671</v>
      </c>
      <c r="E25" s="121">
        <v>0</v>
      </c>
      <c r="F25" s="128"/>
      <c r="G25" s="128"/>
      <c r="H25" s="163"/>
      <c r="I25" s="163"/>
      <c r="J25" s="167"/>
    </row>
    <row r="26" spans="2:10" ht="15.75" thickBot="1" x14ac:dyDescent="0.3">
      <c r="B26" s="120" t="s">
        <v>183</v>
      </c>
      <c r="C26" s="121" t="s">
        <v>119</v>
      </c>
      <c r="D26" s="175"/>
      <c r="E26" s="121">
        <v>12000</v>
      </c>
      <c r="F26" s="128">
        <v>11265</v>
      </c>
      <c r="G26" s="128">
        <v>14000</v>
      </c>
      <c r="H26" s="163">
        <v>17325</v>
      </c>
      <c r="I26" s="163">
        <v>12000</v>
      </c>
      <c r="J26" s="169"/>
    </row>
    <row r="27" spans="2:10" ht="15.75" thickBot="1" x14ac:dyDescent="0.3">
      <c r="B27" s="120" t="s">
        <v>184</v>
      </c>
      <c r="C27" s="121" t="s">
        <v>202</v>
      </c>
      <c r="D27" s="175"/>
      <c r="E27" s="121">
        <v>0</v>
      </c>
      <c r="F27" s="128"/>
      <c r="G27" s="128"/>
      <c r="H27" s="163"/>
      <c r="I27" s="163"/>
      <c r="J27" s="167"/>
    </row>
    <row r="28" spans="2:10" ht="15.75" thickBot="1" x14ac:dyDescent="0.3">
      <c r="B28" s="120" t="s">
        <v>185</v>
      </c>
      <c r="C28" s="121" t="s">
        <v>208</v>
      </c>
      <c r="D28" s="175">
        <v>11460</v>
      </c>
      <c r="E28" s="121">
        <v>11000</v>
      </c>
      <c r="F28" s="128">
        <v>10780</v>
      </c>
      <c r="G28" s="128">
        <v>11000</v>
      </c>
      <c r="H28" s="163">
        <v>10660</v>
      </c>
      <c r="I28" s="163">
        <v>11000</v>
      </c>
      <c r="J28" s="167"/>
    </row>
    <row r="29" spans="2:10" ht="15.75" thickBot="1" x14ac:dyDescent="0.3">
      <c r="B29" s="129"/>
      <c r="C29" s="125" t="s">
        <v>209</v>
      </c>
      <c r="D29" s="176">
        <f t="shared" ref="D29:I29" si="0">SUM(D10:D28)</f>
        <v>99682.83</v>
      </c>
      <c r="E29" s="130">
        <f t="shared" si="0"/>
        <v>165000</v>
      </c>
      <c r="F29" s="130">
        <f t="shared" si="0"/>
        <v>138287.62</v>
      </c>
      <c r="G29" s="130">
        <f t="shared" si="0"/>
        <v>126000</v>
      </c>
      <c r="H29" s="176">
        <f t="shared" si="0"/>
        <v>122320.07999999999</v>
      </c>
      <c r="I29" s="176">
        <f t="shared" si="0"/>
        <v>2969000</v>
      </c>
      <c r="J29" s="167"/>
    </row>
    <row r="30" spans="2:10" ht="15.75" thickBot="1" x14ac:dyDescent="0.3">
      <c r="B30" s="120"/>
      <c r="C30" s="121"/>
      <c r="D30" s="175"/>
      <c r="E30" s="121"/>
      <c r="F30" s="128"/>
      <c r="G30" s="128"/>
      <c r="H30" s="163"/>
      <c r="I30" s="163"/>
      <c r="J30" s="166"/>
    </row>
    <row r="31" spans="2:10" ht="15.75" thickBot="1" x14ac:dyDescent="0.3">
      <c r="B31" s="120" t="s">
        <v>210</v>
      </c>
      <c r="C31" s="121" t="s">
        <v>211</v>
      </c>
      <c r="D31" s="175">
        <v>0</v>
      </c>
      <c r="E31" s="121">
        <v>-21000</v>
      </c>
      <c r="F31" s="128">
        <v>-18170.48</v>
      </c>
      <c r="G31" s="128">
        <v>-22000</v>
      </c>
      <c r="H31" s="163">
        <v>-22217</v>
      </c>
      <c r="I31" s="163">
        <v>-25000</v>
      </c>
      <c r="J31" s="170"/>
    </row>
    <row r="32" spans="2:10" ht="15.75" thickBot="1" x14ac:dyDescent="0.3">
      <c r="B32" s="120" t="s">
        <v>212</v>
      </c>
      <c r="C32" s="121" t="s">
        <v>213</v>
      </c>
      <c r="D32" s="175">
        <v>-19105</v>
      </c>
      <c r="E32" s="121"/>
      <c r="F32" s="128">
        <v>-12500</v>
      </c>
      <c r="G32" s="128"/>
      <c r="H32" s="163"/>
      <c r="I32" s="163"/>
      <c r="J32" s="171"/>
    </row>
    <row r="33" spans="2:10" ht="15.75" thickBot="1" x14ac:dyDescent="0.3">
      <c r="B33" s="120" t="s">
        <v>137</v>
      </c>
      <c r="C33" s="121" t="s">
        <v>214</v>
      </c>
      <c r="D33" s="175">
        <v>-8580</v>
      </c>
      <c r="E33" s="121">
        <v>-10000</v>
      </c>
      <c r="F33" s="128">
        <v>-7920</v>
      </c>
      <c r="G33" s="128">
        <v>-12000</v>
      </c>
      <c r="H33" s="163">
        <v>-13300</v>
      </c>
      <c r="I33" s="163">
        <v>-14000</v>
      </c>
      <c r="J33" s="171"/>
    </row>
    <row r="34" spans="2:10" ht="15.75" thickBot="1" x14ac:dyDescent="0.3">
      <c r="B34" s="120" t="s">
        <v>215</v>
      </c>
      <c r="C34" s="121" t="s">
        <v>216</v>
      </c>
      <c r="D34" s="175">
        <v>0</v>
      </c>
      <c r="E34" s="121">
        <v>0</v>
      </c>
      <c r="F34" s="128"/>
      <c r="G34" s="128">
        <v>-500</v>
      </c>
      <c r="H34" s="163"/>
      <c r="I34" s="163"/>
      <c r="J34" s="171"/>
    </row>
    <row r="35" spans="2:10" ht="15.75" thickBot="1" x14ac:dyDescent="0.3">
      <c r="B35" s="120" t="s">
        <v>217</v>
      </c>
      <c r="C35" s="121" t="s">
        <v>218</v>
      </c>
      <c r="D35" s="175">
        <v>0</v>
      </c>
      <c r="E35" s="121">
        <v>0</v>
      </c>
      <c r="F35" s="128"/>
      <c r="G35" s="128">
        <v>-600</v>
      </c>
      <c r="H35" s="163"/>
      <c r="I35" s="163">
        <v>-600</v>
      </c>
      <c r="J35" s="171"/>
    </row>
    <row r="36" spans="2:10" ht="15.75" thickBot="1" x14ac:dyDescent="0.3">
      <c r="B36" s="120" t="s">
        <v>219</v>
      </c>
      <c r="C36" s="121" t="s">
        <v>186</v>
      </c>
      <c r="D36" s="175">
        <v>-46492</v>
      </c>
      <c r="E36" s="121">
        <v>0</v>
      </c>
      <c r="F36" s="128"/>
      <c r="G36" s="128"/>
      <c r="H36" s="163"/>
      <c r="I36" s="163"/>
      <c r="J36" s="171"/>
    </row>
    <row r="37" spans="2:10" ht="15.75" thickBot="1" x14ac:dyDescent="0.3">
      <c r="B37" s="120" t="s">
        <v>220</v>
      </c>
      <c r="C37" s="121" t="s">
        <v>187</v>
      </c>
      <c r="D37" s="175">
        <v>0</v>
      </c>
      <c r="E37" s="121">
        <v>-2500</v>
      </c>
      <c r="F37" s="128"/>
      <c r="G37" s="128">
        <v>-2000</v>
      </c>
      <c r="H37" s="163"/>
      <c r="I37" s="163">
        <v>-1500</v>
      </c>
      <c r="J37" s="171"/>
    </row>
    <row r="38" spans="2:10" ht="15.75" thickBot="1" x14ac:dyDescent="0.3">
      <c r="B38" s="120" t="s">
        <v>221</v>
      </c>
      <c r="C38" s="121" t="s">
        <v>222</v>
      </c>
      <c r="D38" s="175">
        <v>0</v>
      </c>
      <c r="E38" s="121">
        <v>-20000</v>
      </c>
      <c r="F38" s="128"/>
      <c r="G38" s="128">
        <v>-1000</v>
      </c>
      <c r="H38" s="163"/>
      <c r="I38" s="163"/>
      <c r="J38" s="171"/>
    </row>
    <row r="39" spans="2:10" ht="15.75" thickBot="1" x14ac:dyDescent="0.3">
      <c r="B39" s="120" t="s">
        <v>223</v>
      </c>
      <c r="C39" s="121" t="s">
        <v>224</v>
      </c>
      <c r="D39" s="175">
        <v>0</v>
      </c>
      <c r="E39" s="121">
        <v>-250</v>
      </c>
      <c r="F39" s="128">
        <v>-1896</v>
      </c>
      <c r="G39" s="128">
        <v>-2000</v>
      </c>
      <c r="H39" s="163">
        <v>-2512</v>
      </c>
      <c r="I39" s="163">
        <v>-4000</v>
      </c>
      <c r="J39" s="171"/>
    </row>
    <row r="40" spans="2:10" ht="15.75" thickBot="1" x14ac:dyDescent="0.3">
      <c r="B40" s="120" t="s">
        <v>225</v>
      </c>
      <c r="C40" s="121" t="s">
        <v>190</v>
      </c>
      <c r="D40" s="175">
        <v>0</v>
      </c>
      <c r="E40" s="121">
        <v>-500</v>
      </c>
      <c r="F40" s="128">
        <v>-20000</v>
      </c>
      <c r="G40" s="128">
        <v>-20000</v>
      </c>
      <c r="H40" s="163">
        <v>-20000</v>
      </c>
      <c r="I40" s="163">
        <v>-25000</v>
      </c>
      <c r="J40" s="172"/>
    </row>
    <row r="41" spans="2:10" ht="15.75" thickBot="1" x14ac:dyDescent="0.3">
      <c r="B41" s="120" t="s">
        <v>226</v>
      </c>
      <c r="C41" s="121" t="s">
        <v>227</v>
      </c>
      <c r="D41" s="175">
        <v>-18842.18</v>
      </c>
      <c r="E41" s="121">
        <v>-20000</v>
      </c>
      <c r="F41" s="128">
        <v>-32499.3</v>
      </c>
      <c r="G41" s="128">
        <v>-20000</v>
      </c>
      <c r="H41" s="163">
        <v>-44082.65</v>
      </c>
      <c r="I41" s="163">
        <v>-45000</v>
      </c>
      <c r="J41" s="171"/>
    </row>
    <row r="42" spans="2:10" ht="15.75" thickBot="1" x14ac:dyDescent="0.3">
      <c r="B42" s="120" t="s">
        <v>228</v>
      </c>
      <c r="C42" s="121" t="s">
        <v>194</v>
      </c>
      <c r="D42" s="175"/>
      <c r="E42" s="121">
        <v>0</v>
      </c>
      <c r="F42" s="128"/>
      <c r="G42" s="128">
        <v>-500</v>
      </c>
      <c r="H42" s="163"/>
      <c r="I42" s="163">
        <v>-500</v>
      </c>
      <c r="J42" s="171"/>
    </row>
    <row r="43" spans="2:10" ht="15.75" thickBot="1" x14ac:dyDescent="0.3">
      <c r="B43" s="120" t="s">
        <v>229</v>
      </c>
      <c r="C43" s="121" t="s">
        <v>230</v>
      </c>
      <c r="D43" s="175">
        <v>0</v>
      </c>
      <c r="E43" s="121">
        <v>0</v>
      </c>
      <c r="F43" s="128"/>
      <c r="G43" s="128">
        <v>-500</v>
      </c>
      <c r="H43" s="163">
        <v>-740</v>
      </c>
      <c r="I43" s="163">
        <v>-1000</v>
      </c>
      <c r="J43" s="171"/>
    </row>
    <row r="44" spans="2:10" ht="15.75" thickBot="1" x14ac:dyDescent="0.3">
      <c r="B44" s="120" t="s">
        <v>231</v>
      </c>
      <c r="C44" s="121" t="s">
        <v>232</v>
      </c>
      <c r="D44" s="175">
        <v>0</v>
      </c>
      <c r="E44" s="121">
        <v>-62000</v>
      </c>
      <c r="F44" s="128">
        <v>-70434.070000000007</v>
      </c>
      <c r="G44" s="128"/>
      <c r="H44" s="163"/>
      <c r="I44" s="163">
        <v>-38000</v>
      </c>
      <c r="J44" s="171"/>
    </row>
    <row r="45" spans="2:10" ht="15.75" thickBot="1" x14ac:dyDescent="0.3">
      <c r="B45" s="120" t="s">
        <v>233</v>
      </c>
      <c r="C45" s="121" t="s">
        <v>234</v>
      </c>
      <c r="D45" s="175"/>
      <c r="E45" s="121"/>
      <c r="F45" s="128">
        <v>-102500</v>
      </c>
      <c r="G45" s="128"/>
      <c r="H45" s="163">
        <v>-19300</v>
      </c>
      <c r="I45" s="163">
        <v>-15000</v>
      </c>
      <c r="J45" s="171"/>
    </row>
    <row r="46" spans="2:10" ht="15.75" thickBot="1" x14ac:dyDescent="0.3">
      <c r="B46" s="120" t="s">
        <v>235</v>
      </c>
      <c r="C46" s="121" t="s">
        <v>236</v>
      </c>
      <c r="D46" s="175">
        <v>-676</v>
      </c>
      <c r="E46" s="121">
        <v>-500</v>
      </c>
      <c r="F46" s="128">
        <v>-500</v>
      </c>
      <c r="G46" s="128">
        <v>-500</v>
      </c>
      <c r="H46" s="163">
        <v>-2500</v>
      </c>
      <c r="I46" s="163">
        <v>-2000</v>
      </c>
      <c r="J46" s="171"/>
    </row>
    <row r="47" spans="2:10" ht="15.75" thickBot="1" x14ac:dyDescent="0.3">
      <c r="B47" s="120" t="s">
        <v>237</v>
      </c>
      <c r="C47" s="121" t="s">
        <v>238</v>
      </c>
      <c r="D47" s="175">
        <v>0</v>
      </c>
      <c r="E47" s="121">
        <v>0</v>
      </c>
      <c r="F47" s="128"/>
      <c r="G47" s="128">
        <v>-500</v>
      </c>
      <c r="H47" s="163"/>
      <c r="I47" s="163"/>
      <c r="J47" s="171"/>
    </row>
    <row r="48" spans="2:10" ht="15.75" thickBot="1" x14ac:dyDescent="0.3">
      <c r="B48" s="120" t="s">
        <v>239</v>
      </c>
      <c r="C48" s="121" t="s">
        <v>240</v>
      </c>
      <c r="D48" s="175">
        <v>0</v>
      </c>
      <c r="E48" s="121">
        <v>0</v>
      </c>
      <c r="F48" s="128"/>
      <c r="G48" s="128"/>
      <c r="H48" s="163"/>
      <c r="I48" s="163"/>
      <c r="J48" s="171"/>
    </row>
    <row r="49" spans="2:10" ht="15.75" thickBot="1" x14ac:dyDescent="0.3">
      <c r="B49" s="120" t="s">
        <v>241</v>
      </c>
      <c r="C49" s="121" t="s">
        <v>242</v>
      </c>
      <c r="D49" s="175">
        <v>-2835</v>
      </c>
      <c r="E49" s="121">
        <v>0</v>
      </c>
      <c r="F49" s="128"/>
      <c r="G49" s="128"/>
      <c r="H49" s="163">
        <v>-3435</v>
      </c>
      <c r="I49" s="163">
        <v>-4000</v>
      </c>
      <c r="J49" s="171"/>
    </row>
    <row r="50" spans="2:10" ht="15.75" thickBot="1" x14ac:dyDescent="0.3">
      <c r="B50" s="120" t="s">
        <v>243</v>
      </c>
      <c r="C50" s="121" t="s">
        <v>244</v>
      </c>
      <c r="D50" s="175">
        <v>-18917.810000000001</v>
      </c>
      <c r="E50" s="121">
        <v>-18000</v>
      </c>
      <c r="F50" s="128">
        <v>-31039.69</v>
      </c>
      <c r="G50" s="128">
        <v>-25000</v>
      </c>
      <c r="H50" s="163">
        <v>-68173.14</v>
      </c>
      <c r="I50" s="163">
        <v>-30000</v>
      </c>
      <c r="J50" s="171"/>
    </row>
    <row r="51" spans="2:10" ht="15.75" thickBot="1" x14ac:dyDescent="0.3">
      <c r="B51" s="120" t="s">
        <v>245</v>
      </c>
      <c r="C51" s="121" t="s">
        <v>246</v>
      </c>
      <c r="D51" s="175">
        <v>0</v>
      </c>
      <c r="E51" s="121">
        <v>0</v>
      </c>
      <c r="F51" s="128"/>
      <c r="G51" s="128"/>
      <c r="H51" s="163"/>
      <c r="I51" s="163"/>
      <c r="J51" s="171"/>
    </row>
    <row r="52" spans="2:10" ht="15.75" thickBot="1" x14ac:dyDescent="0.3">
      <c r="B52" s="120" t="s">
        <v>247</v>
      </c>
      <c r="C52" s="121" t="s">
        <v>248</v>
      </c>
      <c r="D52" s="175">
        <v>0</v>
      </c>
      <c r="E52" s="121">
        <v>-500</v>
      </c>
      <c r="F52" s="128"/>
      <c r="G52" s="128">
        <v>-1000</v>
      </c>
      <c r="H52" s="163"/>
      <c r="I52" s="163">
        <v>-1000</v>
      </c>
      <c r="J52" s="171"/>
    </row>
    <row r="53" spans="2:10" ht="15.75" thickBot="1" x14ac:dyDescent="0.3">
      <c r="B53" s="120" t="s">
        <v>249</v>
      </c>
      <c r="C53" s="121" t="s">
        <v>250</v>
      </c>
      <c r="D53" s="175">
        <v>-500</v>
      </c>
      <c r="E53" s="121">
        <v>-500</v>
      </c>
      <c r="F53" s="128">
        <v>-500</v>
      </c>
      <c r="G53" s="128"/>
      <c r="H53" s="163"/>
      <c r="I53" s="163"/>
      <c r="J53" s="171"/>
    </row>
    <row r="54" spans="2:10" ht="15.75" thickBot="1" x14ac:dyDescent="0.3">
      <c r="B54" s="120" t="s">
        <v>251</v>
      </c>
      <c r="C54" s="121" t="s">
        <v>252</v>
      </c>
      <c r="D54" s="175">
        <v>0</v>
      </c>
      <c r="E54" s="121">
        <v>-500</v>
      </c>
      <c r="F54" s="128"/>
      <c r="G54" s="128"/>
      <c r="H54" s="163"/>
      <c r="I54" s="163">
        <v>-1000</v>
      </c>
      <c r="J54" s="171"/>
    </row>
    <row r="55" spans="2:10" ht="15.75" thickBot="1" x14ac:dyDescent="0.3">
      <c r="B55" s="120" t="s">
        <v>253</v>
      </c>
      <c r="C55" s="121" t="s">
        <v>254</v>
      </c>
      <c r="D55" s="175">
        <v>0</v>
      </c>
      <c r="E55" s="121">
        <v>-3000</v>
      </c>
      <c r="F55" s="128">
        <v>-2985</v>
      </c>
      <c r="G55" s="128">
        <v>-3100</v>
      </c>
      <c r="H55" s="163"/>
      <c r="I55" s="163"/>
      <c r="J55" s="171"/>
    </row>
    <row r="56" spans="2:10" ht="15.75" thickBot="1" x14ac:dyDescent="0.3">
      <c r="B56" s="120" t="s">
        <v>129</v>
      </c>
      <c r="C56" s="121" t="s">
        <v>255</v>
      </c>
      <c r="D56" s="175"/>
      <c r="E56" s="121"/>
      <c r="F56" s="128">
        <v>-4561</v>
      </c>
      <c r="G56" s="128">
        <v>-500</v>
      </c>
      <c r="H56" s="163"/>
      <c r="I56" s="163">
        <v>-500</v>
      </c>
      <c r="J56" s="171"/>
    </row>
    <row r="57" spans="2:10" ht="15.75" thickBot="1" x14ac:dyDescent="0.3">
      <c r="B57" s="120" t="s">
        <v>256</v>
      </c>
      <c r="C57" s="121" t="s">
        <v>257</v>
      </c>
      <c r="D57" s="175">
        <v>-198</v>
      </c>
      <c r="E57" s="121">
        <v>-500</v>
      </c>
      <c r="F57" s="128"/>
      <c r="G57" s="128"/>
      <c r="H57" s="163">
        <v>-1761</v>
      </c>
      <c r="I57" s="163">
        <v>-2000</v>
      </c>
      <c r="J57" s="171"/>
    </row>
    <row r="58" spans="2:10" ht="15.75" thickBot="1" x14ac:dyDescent="0.3">
      <c r="B58" s="120" t="s">
        <v>258</v>
      </c>
      <c r="C58" s="121" t="s">
        <v>259</v>
      </c>
      <c r="D58" s="175">
        <v>-630</v>
      </c>
      <c r="E58" s="121">
        <v>-650</v>
      </c>
      <c r="F58" s="128">
        <v>-945</v>
      </c>
      <c r="G58" s="128">
        <v>-1000</v>
      </c>
      <c r="H58" s="163">
        <v>-1729</v>
      </c>
      <c r="I58" s="163">
        <v>-1800</v>
      </c>
      <c r="J58" s="171"/>
    </row>
    <row r="59" spans="2:10" ht="15.75" thickBot="1" x14ac:dyDescent="0.3">
      <c r="B59" s="120" t="s">
        <v>62</v>
      </c>
      <c r="C59" s="121" t="s">
        <v>260</v>
      </c>
      <c r="D59" s="175">
        <v>0</v>
      </c>
      <c r="E59" s="121">
        <v>0</v>
      </c>
      <c r="F59" s="128"/>
      <c r="G59" s="128"/>
      <c r="H59" s="163">
        <v>-591.67999999999995</v>
      </c>
      <c r="I59" s="163">
        <v>-500</v>
      </c>
      <c r="J59" s="171"/>
    </row>
    <row r="60" spans="2:10" ht="15.75" thickBot="1" x14ac:dyDescent="0.3">
      <c r="B60" s="120" t="s">
        <v>261</v>
      </c>
      <c r="C60" s="121" t="s">
        <v>262</v>
      </c>
      <c r="D60" s="175">
        <v>-25000</v>
      </c>
      <c r="E60" s="121">
        <v>-20000</v>
      </c>
      <c r="F60" s="128"/>
      <c r="G60" s="128"/>
      <c r="H60" s="163"/>
      <c r="I60" s="163"/>
      <c r="J60" s="171"/>
    </row>
    <row r="61" spans="2:10" ht="15.75" thickBot="1" x14ac:dyDescent="0.3">
      <c r="B61" s="120" t="s">
        <v>74</v>
      </c>
      <c r="C61" s="121" t="s">
        <v>263</v>
      </c>
      <c r="D61" s="175">
        <v>0</v>
      </c>
      <c r="E61" s="121">
        <v>0</v>
      </c>
      <c r="F61" s="128"/>
      <c r="G61" s="128"/>
      <c r="H61" s="163"/>
      <c r="I61" s="163"/>
      <c r="J61" s="171"/>
    </row>
    <row r="62" spans="2:10" ht="15.75" thickBot="1" x14ac:dyDescent="0.3">
      <c r="B62" s="120" t="s">
        <v>134</v>
      </c>
      <c r="C62" s="121" t="s">
        <v>264</v>
      </c>
      <c r="D62" s="175"/>
      <c r="E62" s="121"/>
      <c r="F62" s="128"/>
      <c r="G62" s="128"/>
      <c r="H62" s="163">
        <v>-1287.8499999999999</v>
      </c>
      <c r="I62" s="163">
        <v>-1500</v>
      </c>
      <c r="J62" s="171"/>
    </row>
    <row r="63" spans="2:10" ht="15.75" thickBot="1" x14ac:dyDescent="0.3">
      <c r="B63" s="120" t="s">
        <v>265</v>
      </c>
      <c r="C63" s="121" t="s">
        <v>266</v>
      </c>
      <c r="D63" s="175">
        <v>0</v>
      </c>
      <c r="E63" s="121">
        <v>0</v>
      </c>
      <c r="F63" s="128"/>
      <c r="G63" s="128"/>
      <c r="H63" s="163"/>
      <c r="I63" s="163"/>
      <c r="J63" s="171"/>
    </row>
    <row r="64" spans="2:10" ht="15.75" thickBot="1" x14ac:dyDescent="0.3">
      <c r="B64" s="120" t="s">
        <v>267</v>
      </c>
      <c r="C64" s="121" t="s">
        <v>268</v>
      </c>
      <c r="D64" s="175">
        <v>0</v>
      </c>
      <c r="E64" s="121">
        <v>0</v>
      </c>
      <c r="F64" s="128">
        <v>1</v>
      </c>
      <c r="G64" s="128"/>
      <c r="H64" s="163">
        <v>-1.4</v>
      </c>
      <c r="I64" s="163"/>
      <c r="J64" s="171"/>
    </row>
    <row r="65" spans="2:10" ht="15.75" thickBot="1" x14ac:dyDescent="0.3">
      <c r="B65" s="120" t="s">
        <v>269</v>
      </c>
      <c r="C65" s="121" t="s">
        <v>270</v>
      </c>
      <c r="D65" s="175">
        <v>0</v>
      </c>
      <c r="E65" s="121">
        <v>0</v>
      </c>
      <c r="F65" s="128"/>
      <c r="G65" s="128"/>
      <c r="H65" s="163"/>
      <c r="I65" s="163"/>
      <c r="J65" s="171"/>
    </row>
    <row r="66" spans="2:10" ht="15.75" thickBot="1" x14ac:dyDescent="0.3">
      <c r="B66" s="120" t="s">
        <v>271</v>
      </c>
      <c r="C66" s="121" t="s">
        <v>236</v>
      </c>
      <c r="D66" s="175">
        <v>0</v>
      </c>
      <c r="E66" s="121">
        <v>0</v>
      </c>
      <c r="F66" s="128"/>
      <c r="G66" s="128"/>
      <c r="H66" s="163">
        <v>-599</v>
      </c>
      <c r="I66" s="163">
        <v>-700</v>
      </c>
      <c r="J66" s="171"/>
    </row>
    <row r="67" spans="2:10" ht="15.75" thickBot="1" x14ac:dyDescent="0.3">
      <c r="B67" s="120" t="s">
        <v>272</v>
      </c>
      <c r="C67" s="121" t="s">
        <v>273</v>
      </c>
      <c r="D67" s="175">
        <v>-466</v>
      </c>
      <c r="E67" s="121">
        <v>-1000</v>
      </c>
      <c r="F67" s="128">
        <v>-3815</v>
      </c>
      <c r="G67" s="128"/>
      <c r="H67" s="163">
        <v>-6202</v>
      </c>
      <c r="I67" s="163">
        <v>-8000</v>
      </c>
      <c r="J67" s="171"/>
    </row>
    <row r="68" spans="2:10" ht="15.75" thickBot="1" x14ac:dyDescent="0.3">
      <c r="B68" s="120" t="s">
        <v>274</v>
      </c>
      <c r="C68" s="121" t="s">
        <v>275</v>
      </c>
      <c r="D68" s="175">
        <v>0</v>
      </c>
      <c r="E68" s="121">
        <v>-10000</v>
      </c>
      <c r="F68" s="128">
        <v>-8796</v>
      </c>
      <c r="G68" s="128"/>
      <c r="H68" s="163">
        <v>-9648.7000000000007</v>
      </c>
      <c r="I68" s="163">
        <v>-12000</v>
      </c>
      <c r="J68" s="171"/>
    </row>
    <row r="69" spans="2:10" ht="15.75" thickBot="1" x14ac:dyDescent="0.3">
      <c r="B69" s="120" t="s">
        <v>276</v>
      </c>
      <c r="C69" s="121" t="s">
        <v>277</v>
      </c>
      <c r="D69" s="175">
        <v>0</v>
      </c>
      <c r="E69" s="121">
        <v>0</v>
      </c>
      <c r="F69" s="128"/>
      <c r="G69" s="128"/>
      <c r="H69" s="163"/>
      <c r="I69" s="163"/>
      <c r="J69" s="171"/>
    </row>
    <row r="70" spans="2:10" ht="15.75" thickBot="1" x14ac:dyDescent="0.3">
      <c r="B70" s="120" t="s">
        <v>278</v>
      </c>
      <c r="C70" s="121" t="s">
        <v>279</v>
      </c>
      <c r="D70" s="175">
        <v>0</v>
      </c>
      <c r="E70" s="121">
        <v>0</v>
      </c>
      <c r="F70" s="128"/>
      <c r="G70" s="128"/>
      <c r="H70" s="163"/>
      <c r="I70" s="163"/>
      <c r="J70" s="171"/>
    </row>
    <row r="71" spans="2:10" ht="15.75" thickBot="1" x14ac:dyDescent="0.3">
      <c r="B71" s="120" t="s">
        <v>280</v>
      </c>
      <c r="C71" s="121" t="s">
        <v>281</v>
      </c>
      <c r="D71" s="175">
        <v>0</v>
      </c>
      <c r="E71" s="121">
        <v>-5000</v>
      </c>
      <c r="F71" s="128"/>
      <c r="G71" s="128"/>
      <c r="H71" s="163"/>
      <c r="I71" s="163"/>
      <c r="J71" s="173"/>
    </row>
    <row r="72" spans="2:10" ht="15.75" thickBot="1" x14ac:dyDescent="0.3">
      <c r="B72" s="129"/>
      <c r="C72" s="125" t="s">
        <v>282</v>
      </c>
      <c r="D72" s="177">
        <f>SUM(D32:D71)</f>
        <v>-142241.99</v>
      </c>
      <c r="E72" s="131">
        <f>SUM(E32:E71)</f>
        <v>-175400</v>
      </c>
      <c r="F72" s="126">
        <f>SUM(F31:F71)</f>
        <v>-319060.53999999998</v>
      </c>
      <c r="G72" s="126">
        <f>SUM(G32:G71)</f>
        <v>-90700</v>
      </c>
      <c r="H72" s="177">
        <f>SUM(H31:H71)</f>
        <v>-218080.41999999998</v>
      </c>
      <c r="I72" s="177">
        <f t="shared" ref="I72" si="1">SUM(I32:I71)</f>
        <v>-209600</v>
      </c>
      <c r="J72" s="173"/>
    </row>
    <row r="73" spans="2:10" ht="15.75" thickBot="1" x14ac:dyDescent="0.3">
      <c r="B73" s="120" t="s">
        <v>283</v>
      </c>
      <c r="C73" s="121" t="s">
        <v>284</v>
      </c>
      <c r="D73" s="175">
        <v>4027</v>
      </c>
      <c r="E73" s="121">
        <v>4000</v>
      </c>
      <c r="F73" s="128">
        <v>8061</v>
      </c>
      <c r="G73" s="128"/>
      <c r="H73" s="163">
        <v>19345</v>
      </c>
      <c r="I73" s="163">
        <v>80000</v>
      </c>
      <c r="J73" s="173"/>
    </row>
    <row r="74" spans="2:10" ht="15.75" thickBot="1" x14ac:dyDescent="0.3">
      <c r="B74" s="120" t="s">
        <v>285</v>
      </c>
      <c r="C74" s="121" t="s">
        <v>286</v>
      </c>
      <c r="D74" s="175">
        <v>-503</v>
      </c>
      <c r="E74" s="121">
        <v>-600</v>
      </c>
      <c r="F74" s="128">
        <v>-624</v>
      </c>
      <c r="G74" s="128"/>
      <c r="H74" s="163">
        <v>-585</v>
      </c>
      <c r="I74" s="163">
        <v>-800</v>
      </c>
      <c r="J74" s="173"/>
    </row>
    <row r="75" spans="2:10" ht="15.75" thickBot="1" x14ac:dyDescent="0.3">
      <c r="B75" s="132"/>
      <c r="C75" s="125" t="s">
        <v>287</v>
      </c>
      <c r="D75" s="177">
        <f>SUM(D73:D74)</f>
        <v>3524</v>
      </c>
      <c r="E75" s="131">
        <f>SUM(E73:E74)</f>
        <v>3400</v>
      </c>
      <c r="F75" s="126">
        <f t="shared" ref="F75:I75" si="2">SUM(F73:F74)</f>
        <v>7437</v>
      </c>
      <c r="G75" s="126">
        <f t="shared" si="2"/>
        <v>0</v>
      </c>
      <c r="H75" s="177">
        <f t="shared" si="2"/>
        <v>18760</v>
      </c>
      <c r="I75" s="177">
        <f t="shared" si="2"/>
        <v>79200</v>
      </c>
      <c r="J75" s="173"/>
    </row>
    <row r="76" spans="2:10" ht="15.75" thickBot="1" x14ac:dyDescent="0.3">
      <c r="B76" s="133"/>
      <c r="C76" s="121"/>
      <c r="D76" s="175"/>
      <c r="E76" s="121"/>
      <c r="F76" s="128"/>
      <c r="G76" s="128"/>
      <c r="H76" s="163"/>
      <c r="I76" s="163"/>
      <c r="J76" s="173"/>
    </row>
    <row r="77" spans="2:10" ht="15.75" thickBot="1" x14ac:dyDescent="0.3">
      <c r="B77" s="134"/>
      <c r="C77" s="135" t="s">
        <v>110</v>
      </c>
      <c r="D77" s="178">
        <f>D29+D72+D75</f>
        <v>-39035.159999999989</v>
      </c>
      <c r="E77" s="136">
        <f>E29+E72+E75</f>
        <v>-7000</v>
      </c>
      <c r="F77" s="137">
        <f>F29+F72+F75</f>
        <v>-173335.91999999998</v>
      </c>
      <c r="G77" s="137">
        <f>G29+G72+G75</f>
        <v>35300</v>
      </c>
      <c r="H77" s="178">
        <f t="shared" ref="H77:I77" si="3">H29+H72+H75</f>
        <v>-77000.34</v>
      </c>
      <c r="I77" s="178">
        <f t="shared" si="3"/>
        <v>2838600</v>
      </c>
      <c r="J77" s="164"/>
    </row>
    <row r="78" spans="2:10" ht="15.75" thickTop="1" x14ac:dyDescent="0.25"/>
    <row r="79" spans="2:10" x14ac:dyDescent="0.25">
      <c r="C79" t="s">
        <v>288</v>
      </c>
    </row>
    <row r="81" spans="3:3" x14ac:dyDescent="0.25">
      <c r="C81" t="s">
        <v>289</v>
      </c>
    </row>
    <row r="82" spans="3:3" x14ac:dyDescent="0.25">
      <c r="C82" t="s">
        <v>290</v>
      </c>
    </row>
  </sheetData>
  <pageMargins left="0.70866141732283472" right="0.70866141732283472" top="0.78740157480314965" bottom="0.78740157480314965" header="0.31496062992125984" footer="0.31496062992125984"/>
  <pageSetup paperSize="9" scale="76" fitToHeight="2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4:Q44"/>
  <sheetViews>
    <sheetView topLeftCell="B1" workbookViewId="0">
      <selection activeCell="A33" sqref="A33:XFD33"/>
    </sheetView>
  </sheetViews>
  <sheetFormatPr baseColWidth="10" defaultRowHeight="15" x14ac:dyDescent="0.25"/>
  <cols>
    <col min="3" max="3" width="44.28515625" customWidth="1"/>
    <col min="4" max="4" width="17.7109375" customWidth="1"/>
    <col min="5" max="5" width="15.85546875" customWidth="1"/>
    <col min="6" max="6" width="13.28515625" customWidth="1"/>
    <col min="7" max="7" width="13.7109375" customWidth="1"/>
    <col min="8" max="8" width="14" customWidth="1"/>
    <col min="9" max="9" width="14" style="140" customWidth="1"/>
    <col min="10" max="10" width="14.7109375" customWidth="1"/>
    <col min="11" max="11" width="13.28515625" customWidth="1"/>
  </cols>
  <sheetData>
    <row r="4" spans="2:11" x14ac:dyDescent="0.25">
      <c r="C4" s="122" t="s">
        <v>203</v>
      </c>
      <c r="D4" s="122"/>
      <c r="E4" s="122"/>
      <c r="F4" s="122"/>
      <c r="G4" s="122"/>
      <c r="H4" s="122"/>
      <c r="I4" s="138"/>
      <c r="J4" s="122"/>
      <c r="K4" s="122"/>
    </row>
    <row r="6" spans="2:11" x14ac:dyDescent="0.25">
      <c r="C6" s="113" t="s">
        <v>291</v>
      </c>
      <c r="D6" s="113"/>
      <c r="E6" s="113"/>
      <c r="F6" s="113"/>
      <c r="G6" s="113"/>
      <c r="H6" s="113"/>
      <c r="I6" s="139"/>
      <c r="J6" s="113"/>
      <c r="K6" s="113"/>
    </row>
    <row r="7" spans="2:11" ht="15.75" thickBot="1" x14ac:dyDescent="0.3"/>
    <row r="8" spans="2:11" ht="16.5" thickTop="1" thickBot="1" x14ac:dyDescent="0.3">
      <c r="B8" s="123" t="s">
        <v>205</v>
      </c>
      <c r="C8" s="124" t="s">
        <v>206</v>
      </c>
      <c r="D8" s="124" t="s">
        <v>292</v>
      </c>
      <c r="E8" s="124" t="s">
        <v>154</v>
      </c>
      <c r="F8" s="124" t="s">
        <v>293</v>
      </c>
      <c r="G8" s="124" t="s">
        <v>294</v>
      </c>
      <c r="H8" s="124" t="s">
        <v>295</v>
      </c>
      <c r="I8" s="141" t="s">
        <v>296</v>
      </c>
      <c r="J8" s="124" t="s">
        <v>297</v>
      </c>
      <c r="K8" s="124" t="s">
        <v>298</v>
      </c>
    </row>
    <row r="9" spans="2:11" ht="15.75" thickBot="1" x14ac:dyDescent="0.3">
      <c r="B9" s="272" t="s">
        <v>35</v>
      </c>
      <c r="C9" s="273"/>
      <c r="D9" s="142"/>
      <c r="E9" s="142"/>
      <c r="F9" s="142"/>
      <c r="G9" s="142"/>
      <c r="H9" s="143"/>
      <c r="I9" s="144"/>
      <c r="J9" s="143"/>
      <c r="K9" s="143"/>
    </row>
    <row r="10" spans="2:11" ht="15.75" thickBot="1" x14ac:dyDescent="0.3">
      <c r="B10" s="120"/>
      <c r="C10" s="145" t="s">
        <v>37</v>
      </c>
      <c r="D10" s="145"/>
      <c r="E10" s="145"/>
      <c r="F10" s="145"/>
      <c r="G10" s="145"/>
      <c r="H10" s="146"/>
      <c r="I10" s="147"/>
      <c r="J10" s="146"/>
      <c r="K10" s="146"/>
    </row>
    <row r="11" spans="2:11" ht="15.75" thickBot="1" x14ac:dyDescent="0.3">
      <c r="B11" s="120" t="s">
        <v>299</v>
      </c>
      <c r="C11" s="121" t="s">
        <v>159</v>
      </c>
      <c r="D11" s="148">
        <v>14360</v>
      </c>
      <c r="E11" s="121">
        <v>2</v>
      </c>
      <c r="F11" s="149">
        <v>13590</v>
      </c>
      <c r="G11" s="149"/>
      <c r="H11" s="149">
        <v>14297.54</v>
      </c>
      <c r="I11" s="150">
        <v>2</v>
      </c>
      <c r="J11" s="146"/>
      <c r="K11" s="146"/>
    </row>
    <row r="12" spans="2:11" ht="15.75" thickBot="1" x14ac:dyDescent="0.3">
      <c r="B12" s="120" t="s">
        <v>300</v>
      </c>
      <c r="C12" s="121" t="s">
        <v>160</v>
      </c>
      <c r="D12" s="148"/>
      <c r="E12" s="121"/>
      <c r="F12" s="149"/>
      <c r="G12" s="149"/>
      <c r="H12" s="149"/>
      <c r="I12" s="150"/>
      <c r="J12" s="149">
        <v>14193.94</v>
      </c>
      <c r="K12" s="149">
        <v>10583.6</v>
      </c>
    </row>
    <row r="13" spans="2:11" ht="15.75" thickBot="1" x14ac:dyDescent="0.3">
      <c r="B13" s="120"/>
      <c r="C13" s="121"/>
      <c r="D13" s="148"/>
      <c r="E13" s="121"/>
      <c r="F13" s="149"/>
      <c r="G13" s="149"/>
      <c r="H13" s="149"/>
      <c r="I13" s="150"/>
      <c r="J13" s="149"/>
      <c r="K13" s="149"/>
    </row>
    <row r="14" spans="2:11" ht="15.75" thickBot="1" x14ac:dyDescent="0.3">
      <c r="B14" s="120" t="s">
        <v>301</v>
      </c>
      <c r="C14" s="121" t="s">
        <v>162</v>
      </c>
      <c r="D14" s="148">
        <v>789</v>
      </c>
      <c r="E14" s="121">
        <v>3</v>
      </c>
      <c r="F14" s="149">
        <v>1445</v>
      </c>
      <c r="G14" s="149"/>
      <c r="H14" s="149">
        <v>419</v>
      </c>
      <c r="I14" s="150">
        <v>3</v>
      </c>
      <c r="J14" s="149">
        <v>671</v>
      </c>
      <c r="K14" s="149">
        <v>2120</v>
      </c>
    </row>
    <row r="15" spans="2:11" ht="15.75" thickBot="1" x14ac:dyDescent="0.3">
      <c r="B15" s="120" t="s">
        <v>58</v>
      </c>
      <c r="C15" s="121" t="s">
        <v>163</v>
      </c>
      <c r="D15" s="148">
        <v>57082.54</v>
      </c>
      <c r="E15" s="121"/>
      <c r="F15" s="149">
        <v>15226.79</v>
      </c>
      <c r="G15" s="149"/>
      <c r="H15" s="149">
        <v>7660.87</v>
      </c>
      <c r="I15" s="150"/>
      <c r="J15" s="149">
        <v>2334.63</v>
      </c>
      <c r="K15" s="149">
        <v>3345.16</v>
      </c>
    </row>
    <row r="16" spans="2:11" ht="15.75" thickBot="1" x14ac:dyDescent="0.3">
      <c r="B16" s="120" t="s">
        <v>302</v>
      </c>
      <c r="C16" s="121" t="s">
        <v>164</v>
      </c>
      <c r="D16" s="148">
        <v>640051</v>
      </c>
      <c r="E16" s="121"/>
      <c r="F16" s="149">
        <v>745721</v>
      </c>
      <c r="G16" s="149"/>
      <c r="H16" s="149">
        <v>856663</v>
      </c>
      <c r="I16" s="150"/>
      <c r="J16" s="149">
        <v>891636</v>
      </c>
      <c r="K16" s="149">
        <v>868733</v>
      </c>
    </row>
    <row r="17" spans="2:17" ht="15.75" thickBot="1" x14ac:dyDescent="0.3">
      <c r="B17" s="120" t="s">
        <v>303</v>
      </c>
      <c r="C17" s="121" t="s">
        <v>304</v>
      </c>
      <c r="D17" s="148">
        <v>13413.37</v>
      </c>
      <c r="E17" s="121"/>
      <c r="F17" s="149">
        <v>13035.37</v>
      </c>
      <c r="G17" s="149"/>
      <c r="H17" s="149"/>
      <c r="I17" s="150"/>
      <c r="J17" s="149"/>
      <c r="K17" s="149"/>
    </row>
    <row r="18" spans="2:17" ht="15.75" thickBot="1" x14ac:dyDescent="0.3">
      <c r="B18" s="120"/>
      <c r="C18" s="121" t="s">
        <v>40</v>
      </c>
      <c r="D18" s="148">
        <f>SUM(D14:D17)</f>
        <v>711335.91</v>
      </c>
      <c r="E18" s="121"/>
      <c r="F18" s="149">
        <f>SUM(F11:F17)</f>
        <v>789018.16</v>
      </c>
      <c r="G18" s="149"/>
      <c r="H18" s="149">
        <f>SUM(H11:H16)</f>
        <v>879040.41</v>
      </c>
      <c r="I18" s="150"/>
      <c r="J18" s="149">
        <f>SUM(J12:J16)</f>
        <v>908835.57</v>
      </c>
      <c r="K18" s="149">
        <f>SUM(K12:K16)</f>
        <v>884781.76</v>
      </c>
    </row>
    <row r="19" spans="2:17" ht="15.75" thickBot="1" x14ac:dyDescent="0.3">
      <c r="B19" s="120"/>
      <c r="C19" s="121"/>
      <c r="D19" s="148"/>
      <c r="E19" s="121"/>
      <c r="F19" s="149"/>
      <c r="G19" s="149"/>
      <c r="H19" s="149"/>
      <c r="I19" s="150"/>
      <c r="J19" s="149"/>
      <c r="K19" s="149"/>
      <c r="Q19">
        <v>26500</v>
      </c>
    </row>
    <row r="20" spans="2:17" ht="15.75" thickBot="1" x14ac:dyDescent="0.3">
      <c r="B20" s="274" t="s">
        <v>41</v>
      </c>
      <c r="C20" s="275"/>
      <c r="D20" s="151">
        <f>SUM(D11:D17)</f>
        <v>725695.91</v>
      </c>
      <c r="E20" s="151"/>
      <c r="F20" s="151">
        <f t="shared" ref="F20" si="0">SUM(F11:F17)</f>
        <v>789018.16</v>
      </c>
      <c r="G20" s="143"/>
      <c r="H20" s="146">
        <f>H18</f>
        <v>879040.41</v>
      </c>
      <c r="I20" s="152"/>
      <c r="J20" s="146">
        <f>J18</f>
        <v>908835.57</v>
      </c>
      <c r="K20" s="146">
        <f>K18</f>
        <v>884781.76</v>
      </c>
      <c r="Q20">
        <f>Q19*1.25</f>
        <v>33125</v>
      </c>
    </row>
    <row r="21" spans="2:17" ht="15.75" thickBot="1" x14ac:dyDescent="0.3">
      <c r="B21" s="120"/>
      <c r="C21" s="121"/>
      <c r="D21" s="121"/>
      <c r="E21" s="121"/>
      <c r="F21" s="149"/>
      <c r="G21" s="149"/>
      <c r="H21" s="149"/>
      <c r="I21" s="150"/>
      <c r="J21" s="149"/>
      <c r="K21" s="149"/>
    </row>
    <row r="22" spans="2:17" ht="15.75" thickBot="1" x14ac:dyDescent="0.3">
      <c r="B22" s="272" t="s">
        <v>305</v>
      </c>
      <c r="C22" s="273"/>
      <c r="D22" s="142"/>
      <c r="E22" s="142"/>
      <c r="F22" s="143"/>
      <c r="G22" s="143"/>
      <c r="H22" s="143"/>
      <c r="I22" s="153"/>
      <c r="J22" s="143"/>
      <c r="K22" s="143"/>
    </row>
    <row r="23" spans="2:17" ht="15.75" thickBot="1" x14ac:dyDescent="0.3">
      <c r="B23" s="120"/>
      <c r="C23" s="121" t="s">
        <v>306</v>
      </c>
      <c r="D23" s="121"/>
      <c r="E23" s="121"/>
      <c r="F23" s="149"/>
      <c r="G23" s="149"/>
      <c r="H23" s="149"/>
      <c r="I23" s="150"/>
      <c r="J23" s="149"/>
      <c r="K23" s="149"/>
    </row>
    <row r="24" spans="2:17" ht="15.75" thickBot="1" x14ac:dyDescent="0.3">
      <c r="B24" s="120" t="s">
        <v>59</v>
      </c>
      <c r="C24" s="121" t="s">
        <v>307</v>
      </c>
      <c r="D24" s="121">
        <v>-598982.54</v>
      </c>
      <c r="E24" s="121"/>
      <c r="F24" s="149">
        <f>H24+H25</f>
        <v>-849318.41</v>
      </c>
      <c r="G24" s="149"/>
      <c r="H24" s="149">
        <f>-918846.31+30492.74</f>
        <v>-888353.57000000007</v>
      </c>
      <c r="I24" s="150"/>
      <c r="J24" s="149">
        <v>-884771.76</v>
      </c>
      <c r="K24" s="149">
        <v>-871436.69</v>
      </c>
    </row>
    <row r="25" spans="2:17" ht="15.75" thickBot="1" x14ac:dyDescent="0.3">
      <c r="B25" s="120" t="s">
        <v>308</v>
      </c>
      <c r="C25" s="121" t="s">
        <v>110</v>
      </c>
      <c r="D25" s="121"/>
      <c r="E25" s="121"/>
      <c r="F25" s="149">
        <v>173335.62</v>
      </c>
      <c r="G25" s="149"/>
      <c r="H25" s="149">
        <v>39035.160000000003</v>
      </c>
      <c r="I25" s="150"/>
      <c r="J25" s="149">
        <v>-3571.81</v>
      </c>
      <c r="K25" s="149">
        <v>-13345.07</v>
      </c>
    </row>
    <row r="26" spans="2:17" ht="15.75" thickBot="1" x14ac:dyDescent="0.3">
      <c r="C26" s="120" t="s">
        <v>309</v>
      </c>
      <c r="D26" s="154">
        <f>SUM(D23:D25)</f>
        <v>-598982.54</v>
      </c>
      <c r="E26" s="155"/>
      <c r="F26" s="154">
        <f>F24+F25</f>
        <v>-675982.79</v>
      </c>
      <c r="G26" s="154"/>
      <c r="H26" s="149">
        <f>SUM(H24:H25)</f>
        <v>-849318.41</v>
      </c>
      <c r="I26" s="150"/>
      <c r="J26" s="149">
        <f>SUM(J24:J25)</f>
        <v>-888343.57000000007</v>
      </c>
      <c r="K26" s="149">
        <f>SUM(K24:K25)</f>
        <v>-884781.75999999989</v>
      </c>
    </row>
    <row r="27" spans="2:17" ht="15.75" thickBot="1" x14ac:dyDescent="0.3">
      <c r="B27" s="129"/>
      <c r="C27" s="125"/>
      <c r="D27" s="125"/>
      <c r="E27" s="125"/>
      <c r="F27" s="131"/>
      <c r="G27" s="131"/>
      <c r="H27" s="131"/>
      <c r="I27" s="156"/>
      <c r="J27" s="131"/>
      <c r="K27" s="131"/>
    </row>
    <row r="28" spans="2:17" ht="15.75" thickBot="1" x14ac:dyDescent="0.3">
      <c r="B28" s="120"/>
      <c r="C28" s="121"/>
      <c r="D28" s="121"/>
      <c r="E28" s="121"/>
      <c r="F28" s="149"/>
      <c r="G28" s="149"/>
      <c r="H28" s="149"/>
      <c r="I28" s="150"/>
      <c r="J28" s="149"/>
      <c r="K28" s="149"/>
    </row>
    <row r="29" spans="2:17" ht="15.75" thickBot="1" x14ac:dyDescent="0.3">
      <c r="B29" s="120" t="s">
        <v>60</v>
      </c>
      <c r="C29" s="121" t="s">
        <v>46</v>
      </c>
      <c r="D29" s="121">
        <v>-113413.37</v>
      </c>
      <c r="E29" s="121">
        <v>4</v>
      </c>
      <c r="F29" s="149">
        <v>-113035.37</v>
      </c>
      <c r="G29" s="149"/>
      <c r="H29" s="149">
        <v>-29722</v>
      </c>
      <c r="I29" s="150">
        <v>4</v>
      </c>
      <c r="J29" s="149">
        <v>-16245</v>
      </c>
      <c r="K29" s="149">
        <v>0</v>
      </c>
    </row>
    <row r="30" spans="2:17" ht="15.75" thickBot="1" x14ac:dyDescent="0.3">
      <c r="B30" s="120" t="s">
        <v>310</v>
      </c>
      <c r="C30" s="121" t="s">
        <v>166</v>
      </c>
      <c r="D30" s="121">
        <v>-13300</v>
      </c>
      <c r="E30" s="121"/>
      <c r="F30" s="149"/>
      <c r="G30" s="149"/>
      <c r="H30" s="149">
        <v>0</v>
      </c>
      <c r="I30" s="150"/>
      <c r="J30" s="149">
        <v>-4237</v>
      </c>
      <c r="K30" s="149">
        <v>0</v>
      </c>
    </row>
    <row r="31" spans="2:17" ht="15.75" thickBot="1" x14ac:dyDescent="0.3">
      <c r="B31" s="120"/>
      <c r="C31" s="121" t="s">
        <v>47</v>
      </c>
      <c r="D31" s="121">
        <f>SUM(D29:D30)</f>
        <v>-126713.37</v>
      </c>
      <c r="E31" s="121"/>
      <c r="F31" s="149">
        <f>SUM(F29:F30)</f>
        <v>-113035.37</v>
      </c>
      <c r="G31" s="149"/>
      <c r="H31" s="149">
        <f>SUM(H29:H30)</f>
        <v>-29722</v>
      </c>
      <c r="I31" s="150"/>
      <c r="J31" s="149">
        <f>SUM(J29:J30)</f>
        <v>-20482</v>
      </c>
      <c r="K31" s="149">
        <f>SUM(K29:K30)</f>
        <v>0</v>
      </c>
    </row>
    <row r="32" spans="2:17" ht="15.75" thickBot="1" x14ac:dyDescent="0.3">
      <c r="B32" s="120"/>
      <c r="C32" s="121"/>
      <c r="D32" s="121"/>
      <c r="E32" s="121"/>
      <c r="F32" s="149"/>
      <c r="G32" s="149"/>
      <c r="H32" s="149"/>
      <c r="I32" s="150"/>
      <c r="J32" s="149"/>
      <c r="K32" s="149"/>
    </row>
    <row r="33" spans="2:11" ht="15.75" thickBot="1" x14ac:dyDescent="0.3">
      <c r="B33" s="157" t="s">
        <v>311</v>
      </c>
      <c r="C33" s="121"/>
      <c r="D33" s="146">
        <f>D26+D31</f>
        <v>-725695.91</v>
      </c>
      <c r="E33" s="145"/>
      <c r="F33" s="146">
        <f>F26+F31</f>
        <v>-789018.16</v>
      </c>
      <c r="G33" s="146"/>
      <c r="H33" s="146">
        <f>H26+H31</f>
        <v>-879040.41</v>
      </c>
      <c r="I33" s="152"/>
      <c r="J33" s="146">
        <f>J26+J31</f>
        <v>-908825.57000000007</v>
      </c>
      <c r="K33" s="146">
        <f>K26+K31</f>
        <v>-884781.75999999989</v>
      </c>
    </row>
    <row r="34" spans="2:11" ht="15.75" thickBot="1" x14ac:dyDescent="0.3">
      <c r="B34" s="134"/>
      <c r="C34" s="135"/>
      <c r="D34" s="135"/>
      <c r="E34" s="135"/>
      <c r="F34" s="135"/>
      <c r="G34" s="135"/>
      <c r="H34" s="135"/>
      <c r="I34" s="158"/>
      <c r="J34" s="135"/>
      <c r="K34" s="135"/>
    </row>
    <row r="35" spans="2:11" ht="15.75" thickTop="1" x14ac:dyDescent="0.25"/>
    <row r="36" spans="2:11" x14ac:dyDescent="0.25">
      <c r="C36" t="s">
        <v>312</v>
      </c>
    </row>
    <row r="38" spans="2:11" ht="15.75" thickBot="1" x14ac:dyDescent="0.3">
      <c r="C38" s="159"/>
    </row>
    <row r="39" spans="2:11" x14ac:dyDescent="0.25">
      <c r="C39" t="s">
        <v>289</v>
      </c>
    </row>
    <row r="40" spans="2:11" x14ac:dyDescent="0.25">
      <c r="C40" t="s">
        <v>313</v>
      </c>
    </row>
    <row r="43" spans="2:11" ht="15.75" thickBot="1" x14ac:dyDescent="0.3">
      <c r="B43" s="159" t="s">
        <v>314</v>
      </c>
      <c r="C43" s="159"/>
      <c r="D43" s="159"/>
      <c r="E43" s="159"/>
      <c r="F43" s="159"/>
      <c r="G43" s="159"/>
      <c r="H43" s="159"/>
      <c r="I43" s="160"/>
      <c r="J43" s="159"/>
      <c r="K43" s="159"/>
    </row>
    <row r="44" spans="2:11" x14ac:dyDescent="0.25">
      <c r="B44" t="s">
        <v>315</v>
      </c>
      <c r="C44" t="s">
        <v>316</v>
      </c>
    </row>
  </sheetData>
  <mergeCells count="3">
    <mergeCell ref="B9:C9"/>
    <mergeCell ref="B20:C20"/>
    <mergeCell ref="B22:C22"/>
  </mergeCells>
  <pageMargins left="0.70866141732283472" right="0.70866141732283472" top="0.78740157480314965" bottom="0.78740157480314965" header="0.31496062992125984" footer="0.31496062992125984"/>
  <pageSetup paperSize="9" scale="71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209"/>
  <sheetViews>
    <sheetView zoomScale="115" zoomScaleNormal="115" workbookViewId="0">
      <pane xSplit="13" ySplit="4" topLeftCell="AB110" activePane="bottomRight" state="frozen"/>
      <selection pane="topRight" activeCell="N1" sqref="N1"/>
      <selection pane="bottomLeft" activeCell="A5" sqref="A5"/>
      <selection pane="bottomRight" activeCell="AD134" activeCellId="2" sqref="L6:L12 AD127:AD131 AD134"/>
    </sheetView>
  </sheetViews>
  <sheetFormatPr baseColWidth="10" defaultColWidth="11.42578125" defaultRowHeight="12.75" x14ac:dyDescent="0.2"/>
  <cols>
    <col min="1" max="1" width="6.28515625" style="31" customWidth="1"/>
    <col min="2" max="2" width="77.85546875" style="32" customWidth="1"/>
    <col min="3" max="3" width="13.5703125" style="33" customWidth="1"/>
    <col min="4" max="4" width="12.42578125" style="27" customWidth="1"/>
    <col min="5" max="5" width="14.140625" style="27" customWidth="1"/>
    <col min="6" max="6" width="15.5703125" style="27" customWidth="1"/>
    <col min="7" max="7" width="12.42578125" style="27" customWidth="1"/>
    <col min="8" max="8" width="16.85546875" style="32" customWidth="1"/>
    <col min="9" max="9" width="15" style="27" customWidth="1"/>
    <col min="10" max="13" width="13" style="32" customWidth="1"/>
    <col min="14" max="14" width="12.85546875" style="32" bestFit="1" customWidth="1"/>
    <col min="15" max="19" width="12.28515625" style="32" customWidth="1"/>
    <col min="20" max="20" width="11.7109375" style="32" bestFit="1" customWidth="1"/>
    <col min="21" max="21" width="11.7109375" style="32" customWidth="1"/>
    <col min="22" max="22" width="12.85546875" style="32" bestFit="1" customWidth="1"/>
    <col min="23" max="23" width="11.5703125" style="32" customWidth="1"/>
    <col min="24" max="24" width="13.5703125" style="32" customWidth="1"/>
    <col min="25" max="26" width="11.5703125" style="32" customWidth="1"/>
    <col min="27" max="27" width="12.85546875" style="32" bestFit="1" customWidth="1"/>
    <col min="28" max="28" width="12.7109375" style="32" customWidth="1"/>
    <col min="29" max="29" width="10.5703125" style="32" customWidth="1"/>
    <col min="30" max="30" width="11" style="32" customWidth="1"/>
    <col min="31" max="31" width="11.5703125" style="32" bestFit="1" customWidth="1"/>
    <col min="32" max="33" width="11.5703125" style="32" customWidth="1"/>
    <col min="34" max="34" width="11.42578125" style="32" customWidth="1"/>
    <col min="35" max="35" width="12.5703125" style="32" customWidth="1"/>
    <col min="36" max="36" width="11.5703125" style="32" bestFit="1" customWidth="1"/>
    <col min="37" max="40" width="11.5703125" style="32" customWidth="1"/>
    <col min="41" max="41" width="11.5703125" style="32" bestFit="1" customWidth="1"/>
    <col min="42" max="42" width="11.5703125" style="32" customWidth="1"/>
    <col min="43" max="45" width="11.5703125" style="32" bestFit="1" customWidth="1"/>
    <col min="46" max="46" width="12.42578125" style="32" customWidth="1"/>
    <col min="47" max="53" width="11.5703125" style="32" bestFit="1" customWidth="1"/>
    <col min="54" max="54" width="9.7109375" style="32" customWidth="1"/>
    <col min="55" max="55" width="11.5703125" style="32" customWidth="1"/>
    <col min="56" max="57" width="11.5703125" style="32" bestFit="1" customWidth="1"/>
    <col min="58" max="58" width="11.7109375" style="27" bestFit="1" customWidth="1"/>
    <col min="59" max="16384" width="11.42578125" style="32"/>
  </cols>
  <sheetData>
    <row r="1" spans="1:58" x14ac:dyDescent="0.2">
      <c r="B1" s="32" t="s">
        <v>348</v>
      </c>
    </row>
    <row r="2" spans="1:58" s="34" customFormat="1" ht="14.25" x14ac:dyDescent="0.2">
      <c r="D2" s="198">
        <v>1500</v>
      </c>
      <c r="E2" s="195">
        <v>1750</v>
      </c>
      <c r="F2" s="195">
        <v>1900</v>
      </c>
      <c r="G2" s="195">
        <v>1920</v>
      </c>
      <c r="H2" s="195">
        <v>1921</v>
      </c>
      <c r="I2" s="195">
        <v>1922</v>
      </c>
      <c r="J2" s="195">
        <v>2050</v>
      </c>
      <c r="K2" s="195">
        <v>2400</v>
      </c>
      <c r="L2" s="195">
        <v>2600</v>
      </c>
      <c r="M2" s="195">
        <v>2990</v>
      </c>
      <c r="N2" s="199" t="s">
        <v>61</v>
      </c>
      <c r="O2" s="199" t="s">
        <v>328</v>
      </c>
      <c r="P2" s="199" t="s">
        <v>329</v>
      </c>
      <c r="Q2" s="199" t="s">
        <v>330</v>
      </c>
      <c r="R2" s="199" t="s">
        <v>334</v>
      </c>
      <c r="S2" s="199" t="s">
        <v>336</v>
      </c>
      <c r="T2" s="199" t="s">
        <v>338</v>
      </c>
      <c r="U2" s="199" t="s">
        <v>341</v>
      </c>
      <c r="V2" s="199" t="s">
        <v>324</v>
      </c>
      <c r="W2" s="199" t="s">
        <v>325</v>
      </c>
      <c r="X2" s="199" t="s">
        <v>326</v>
      </c>
      <c r="Y2" s="199" t="s">
        <v>322</v>
      </c>
      <c r="Z2" s="199" t="s">
        <v>323</v>
      </c>
      <c r="AA2" s="199" t="s">
        <v>327</v>
      </c>
      <c r="AB2" s="199">
        <v>3900</v>
      </c>
      <c r="AC2" s="236" t="s">
        <v>210</v>
      </c>
      <c r="AD2" s="199" t="s">
        <v>137</v>
      </c>
      <c r="AE2" s="236" t="s">
        <v>233</v>
      </c>
      <c r="AF2" s="199">
        <v>6720</v>
      </c>
      <c r="AG2" s="199" t="s">
        <v>321</v>
      </c>
      <c r="AH2" s="199" t="s">
        <v>129</v>
      </c>
      <c r="AI2" s="199" t="s">
        <v>130</v>
      </c>
      <c r="AJ2" s="199" t="s">
        <v>258</v>
      </c>
      <c r="AK2" s="199">
        <v>7135</v>
      </c>
      <c r="AL2" s="199">
        <v>7140</v>
      </c>
      <c r="AM2" s="199">
        <v>7141</v>
      </c>
      <c r="AN2" s="199">
        <v>7142</v>
      </c>
      <c r="AO2" s="199">
        <v>7143</v>
      </c>
      <c r="AP2" s="199">
        <v>7144</v>
      </c>
      <c r="AQ2" s="199">
        <v>7145</v>
      </c>
      <c r="AR2" s="199">
        <v>7146</v>
      </c>
      <c r="AS2" s="199">
        <v>7147</v>
      </c>
      <c r="AT2" s="199">
        <v>7148</v>
      </c>
      <c r="AU2" s="199" t="s">
        <v>64</v>
      </c>
      <c r="AV2" s="199" t="s">
        <v>65</v>
      </c>
      <c r="AW2" s="199" t="s">
        <v>66</v>
      </c>
      <c r="AX2" s="199" t="s">
        <v>66</v>
      </c>
      <c r="AY2" s="199" t="s">
        <v>331</v>
      </c>
      <c r="AZ2" s="199">
        <v>7770</v>
      </c>
      <c r="BA2" s="199" t="s">
        <v>332</v>
      </c>
      <c r="BB2" s="199">
        <v>8070</v>
      </c>
      <c r="BC2" s="199">
        <v>8150</v>
      </c>
      <c r="BD2" s="199" t="s">
        <v>285</v>
      </c>
      <c r="BE2" s="199">
        <v>8960</v>
      </c>
      <c r="BF2" s="28"/>
    </row>
    <row r="3" spans="1:58" s="31" customFormat="1" ht="71.25" x14ac:dyDescent="0.2">
      <c r="A3" s="31" t="s">
        <v>72</v>
      </c>
      <c r="B3" s="31" t="s">
        <v>73</v>
      </c>
      <c r="C3" s="35" t="s">
        <v>9</v>
      </c>
      <c r="D3" s="199" t="s">
        <v>8</v>
      </c>
      <c r="E3" s="199" t="s">
        <v>127</v>
      </c>
      <c r="F3" s="199" t="s">
        <v>161</v>
      </c>
      <c r="G3" s="199" t="s">
        <v>163</v>
      </c>
      <c r="H3" s="199" t="s">
        <v>164</v>
      </c>
      <c r="I3" s="199" t="s">
        <v>165</v>
      </c>
      <c r="J3" s="199" t="s">
        <v>43</v>
      </c>
      <c r="K3" s="199" t="s">
        <v>1</v>
      </c>
      <c r="L3" s="199" t="s">
        <v>372</v>
      </c>
      <c r="M3" s="199" t="s">
        <v>46</v>
      </c>
      <c r="N3" s="119" t="s">
        <v>208</v>
      </c>
      <c r="O3" s="119" t="s">
        <v>319</v>
      </c>
      <c r="P3" s="119" t="s">
        <v>320</v>
      </c>
      <c r="Q3" s="119" t="s">
        <v>339</v>
      </c>
      <c r="R3" s="119" t="s">
        <v>335</v>
      </c>
      <c r="S3" s="119" t="s">
        <v>337</v>
      </c>
      <c r="T3" s="119" t="s">
        <v>342</v>
      </c>
      <c r="U3" s="119" t="s">
        <v>448</v>
      </c>
      <c r="V3" s="119" t="s">
        <v>318</v>
      </c>
      <c r="W3" s="119" t="s">
        <v>193</v>
      </c>
      <c r="X3" s="119" t="s">
        <v>198</v>
      </c>
      <c r="Y3" s="119" t="s">
        <v>119</v>
      </c>
      <c r="Z3" s="119" t="s">
        <v>200</v>
      </c>
      <c r="AA3" s="119" t="s">
        <v>54</v>
      </c>
      <c r="AB3" s="119" t="s">
        <v>10</v>
      </c>
      <c r="AC3" s="237" t="s">
        <v>343</v>
      </c>
      <c r="AD3" s="119" t="s">
        <v>340</v>
      </c>
      <c r="AE3" s="237" t="s">
        <v>401</v>
      </c>
      <c r="AF3" s="119" t="s">
        <v>156</v>
      </c>
      <c r="AG3" s="119" t="s">
        <v>3</v>
      </c>
      <c r="AH3" s="119" t="s">
        <v>128</v>
      </c>
      <c r="AI3" s="119" t="s">
        <v>257</v>
      </c>
      <c r="AJ3" s="119" t="s">
        <v>259</v>
      </c>
      <c r="AK3" s="119" t="s">
        <v>260</v>
      </c>
      <c r="AL3" s="119" t="s">
        <v>400</v>
      </c>
      <c r="AM3" s="119" t="s">
        <v>224</v>
      </c>
      <c r="AN3" s="119" t="s">
        <v>190</v>
      </c>
      <c r="AO3" s="119" t="s">
        <v>227</v>
      </c>
      <c r="AP3" s="119" t="s">
        <v>187</v>
      </c>
      <c r="AQ3" s="119" t="s">
        <v>194</v>
      </c>
      <c r="AR3" s="119" t="s">
        <v>232</v>
      </c>
      <c r="AS3" s="119" t="s">
        <v>264</v>
      </c>
      <c r="AT3" s="119" t="s">
        <v>405</v>
      </c>
      <c r="AU3" s="119" t="s">
        <v>53</v>
      </c>
      <c r="AV3" s="119" t="s">
        <v>218</v>
      </c>
      <c r="AW3" s="119" t="s">
        <v>273</v>
      </c>
      <c r="AX3" s="119" t="s">
        <v>7</v>
      </c>
      <c r="AY3" s="119" t="s">
        <v>333</v>
      </c>
      <c r="AZ3" s="119" t="s">
        <v>346</v>
      </c>
      <c r="BA3" s="119" t="s">
        <v>5</v>
      </c>
      <c r="BB3" s="119" t="s">
        <v>402</v>
      </c>
      <c r="BC3" s="119" t="s">
        <v>345</v>
      </c>
      <c r="BD3" s="119" t="s">
        <v>31</v>
      </c>
      <c r="BE3" s="119" t="s">
        <v>6</v>
      </c>
      <c r="BF3" s="36"/>
    </row>
    <row r="4" spans="1:58" ht="14.25" x14ac:dyDescent="0.2">
      <c r="B4" s="104" t="s">
        <v>142</v>
      </c>
      <c r="C4" s="33">
        <v>45292</v>
      </c>
      <c r="D4" s="193">
        <v>0</v>
      </c>
      <c r="E4" s="193">
        <v>14360</v>
      </c>
      <c r="F4" s="193">
        <v>789</v>
      </c>
      <c r="G4" s="193">
        <v>57082.54</v>
      </c>
      <c r="H4" s="193">
        <v>640051</v>
      </c>
      <c r="I4" s="193">
        <v>13413.37</v>
      </c>
      <c r="J4" s="193">
        <v>-598982.54</v>
      </c>
      <c r="K4" s="193">
        <v>0</v>
      </c>
      <c r="L4" s="193">
        <v>-13300</v>
      </c>
      <c r="M4" s="193">
        <v>-113413.37</v>
      </c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8"/>
      <c r="BB4" s="108"/>
      <c r="BC4" s="108"/>
      <c r="BD4" s="108"/>
      <c r="BE4" s="108"/>
      <c r="BF4" s="107"/>
    </row>
    <row r="5" spans="1:58" ht="14.25" x14ac:dyDescent="0.2">
      <c r="A5" s="31" t="s">
        <v>410</v>
      </c>
      <c r="B5" s="104" t="s">
        <v>409</v>
      </c>
      <c r="D5" s="193"/>
      <c r="E5" s="193"/>
      <c r="F5" s="193"/>
      <c r="G5" s="193"/>
      <c r="H5" s="193"/>
      <c r="I5" s="193"/>
      <c r="J5" s="193"/>
      <c r="K5" s="193"/>
      <c r="L5" s="193"/>
      <c r="M5" s="193">
        <v>100000</v>
      </c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>
        <v>-100000</v>
      </c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8"/>
      <c r="BB5" s="108"/>
      <c r="BC5" s="108"/>
      <c r="BD5" s="108"/>
      <c r="BE5" s="108"/>
      <c r="BF5" s="107">
        <f t="shared" ref="BF5:BF36" si="0">SUM(D5:BE5)</f>
        <v>0</v>
      </c>
    </row>
    <row r="6" spans="1:58" ht="15" x14ac:dyDescent="0.25">
      <c r="A6" s="31">
        <v>1</v>
      </c>
      <c r="B6" s="105" t="s">
        <v>371</v>
      </c>
      <c r="C6" s="33">
        <v>45293</v>
      </c>
      <c r="D6" s="107"/>
      <c r="E6" s="107"/>
      <c r="F6" s="109"/>
      <c r="G6" s="107">
        <v>-4200</v>
      </c>
      <c r="H6" s="107"/>
      <c r="I6" s="107"/>
      <c r="J6" s="107"/>
      <c r="K6" s="107"/>
      <c r="L6" s="107">
        <v>4200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8"/>
      <c r="BB6" s="108"/>
      <c r="BC6" s="108"/>
      <c r="BD6" s="108"/>
      <c r="BE6" s="108"/>
      <c r="BF6" s="107">
        <f t="shared" si="0"/>
        <v>0</v>
      </c>
    </row>
    <row r="7" spans="1:58" ht="15" x14ac:dyDescent="0.25">
      <c r="A7" s="31">
        <f t="shared" ref="A7:A70" si="1">A6+1</f>
        <v>2</v>
      </c>
      <c r="B7" s="105" t="s">
        <v>376</v>
      </c>
      <c r="C7" s="33">
        <v>45293</v>
      </c>
      <c r="D7" s="107"/>
      <c r="E7" s="107"/>
      <c r="F7" s="109"/>
      <c r="G7" s="107">
        <v>-2800</v>
      </c>
      <c r="H7" s="107"/>
      <c r="I7" s="107"/>
      <c r="J7" s="107"/>
      <c r="K7" s="107"/>
      <c r="L7" s="107">
        <v>2800</v>
      </c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8"/>
      <c r="BB7" s="108"/>
      <c r="BC7" s="108"/>
      <c r="BD7" s="108"/>
      <c r="BE7" s="108"/>
      <c r="BF7" s="107">
        <f t="shared" si="0"/>
        <v>0</v>
      </c>
    </row>
    <row r="8" spans="1:58" ht="15" x14ac:dyDescent="0.25">
      <c r="A8" s="31">
        <f t="shared" si="1"/>
        <v>3</v>
      </c>
      <c r="B8" s="105" t="s">
        <v>377</v>
      </c>
      <c r="C8" s="33">
        <v>45293</v>
      </c>
      <c r="D8" s="107"/>
      <c r="E8" s="107"/>
      <c r="F8" s="109"/>
      <c r="G8" s="107">
        <v>-1800</v>
      </c>
      <c r="H8" s="107"/>
      <c r="I8" s="107"/>
      <c r="J8" s="107"/>
      <c r="K8" s="107"/>
      <c r="L8" s="107">
        <v>1800</v>
      </c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8"/>
      <c r="BB8" s="108"/>
      <c r="BC8" s="108"/>
      <c r="BD8" s="108"/>
      <c r="BE8" s="108"/>
      <c r="BF8" s="107">
        <f t="shared" si="0"/>
        <v>0</v>
      </c>
    </row>
    <row r="9" spans="1:58" ht="15" x14ac:dyDescent="0.25">
      <c r="A9" s="31">
        <f t="shared" si="1"/>
        <v>4</v>
      </c>
      <c r="B9" s="105" t="s">
        <v>378</v>
      </c>
      <c r="C9" s="33">
        <v>45293</v>
      </c>
      <c r="D9" s="107"/>
      <c r="E9" s="107"/>
      <c r="F9" s="109"/>
      <c r="G9" s="107">
        <v>-1800</v>
      </c>
      <c r="H9" s="107"/>
      <c r="I9" s="107"/>
      <c r="J9" s="107"/>
      <c r="K9" s="107"/>
      <c r="L9" s="107">
        <v>1800</v>
      </c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>
        <f t="shared" si="0"/>
        <v>0</v>
      </c>
    </row>
    <row r="10" spans="1:58" ht="15" x14ac:dyDescent="0.25">
      <c r="A10" s="31">
        <f t="shared" si="1"/>
        <v>5</v>
      </c>
      <c r="B10" s="32" t="s">
        <v>379</v>
      </c>
      <c r="C10" s="33">
        <v>45293</v>
      </c>
      <c r="F10" s="109"/>
      <c r="G10" s="107">
        <v>-1800</v>
      </c>
      <c r="H10" s="107"/>
      <c r="I10" s="107"/>
      <c r="J10" s="107"/>
      <c r="K10" s="107"/>
      <c r="L10" s="107">
        <v>1800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8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8"/>
      <c r="BB10" s="108"/>
      <c r="BC10" s="108"/>
      <c r="BD10" s="108"/>
      <c r="BE10" s="108"/>
      <c r="BF10" s="107">
        <f t="shared" si="0"/>
        <v>0</v>
      </c>
    </row>
    <row r="11" spans="1:58" ht="15" x14ac:dyDescent="0.25">
      <c r="A11" s="31">
        <f t="shared" si="1"/>
        <v>6</v>
      </c>
      <c r="B11" s="105" t="s">
        <v>380</v>
      </c>
      <c r="C11" s="33">
        <v>45293</v>
      </c>
      <c r="D11" s="107"/>
      <c r="E11" s="107"/>
      <c r="F11" s="109"/>
      <c r="G11" s="107">
        <v>-600</v>
      </c>
      <c r="H11" s="107"/>
      <c r="I11" s="107"/>
      <c r="J11" s="107"/>
      <c r="K11" s="107"/>
      <c r="L11" s="107">
        <v>600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8"/>
      <c r="BB11" s="108"/>
      <c r="BC11" s="108"/>
      <c r="BD11" s="108"/>
      <c r="BE11" s="108"/>
      <c r="BF11" s="107">
        <f t="shared" si="0"/>
        <v>0</v>
      </c>
    </row>
    <row r="12" spans="1:58" ht="15" x14ac:dyDescent="0.25">
      <c r="A12" s="31">
        <f t="shared" si="1"/>
        <v>7</v>
      </c>
      <c r="B12" s="105" t="s">
        <v>381</v>
      </c>
      <c r="C12" s="33">
        <v>45293</v>
      </c>
      <c r="D12" s="107"/>
      <c r="E12" s="107"/>
      <c r="F12" s="109"/>
      <c r="G12" s="107">
        <v>-300</v>
      </c>
      <c r="H12" s="107"/>
      <c r="I12" s="107"/>
      <c r="J12" s="107"/>
      <c r="K12" s="107"/>
      <c r="L12" s="107">
        <v>300</v>
      </c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8"/>
      <c r="BB12" s="108"/>
      <c r="BC12" s="108"/>
      <c r="BD12" s="108"/>
      <c r="BE12" s="108"/>
      <c r="BF12" s="107">
        <f t="shared" si="0"/>
        <v>0</v>
      </c>
    </row>
    <row r="13" spans="1:58" ht="15" x14ac:dyDescent="0.25">
      <c r="A13" s="31">
        <f t="shared" si="1"/>
        <v>8</v>
      </c>
      <c r="B13" s="105" t="s">
        <v>382</v>
      </c>
      <c r="C13" s="33">
        <v>45299</v>
      </c>
      <c r="D13" s="107"/>
      <c r="E13" s="107"/>
      <c r="F13" s="109"/>
      <c r="G13" s="107">
        <v>6128.23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>
        <v>-6128.23</v>
      </c>
      <c r="Y13" s="107"/>
      <c r="Z13" s="107"/>
      <c r="AA13" s="107"/>
      <c r="AB13" s="107"/>
      <c r="AC13" s="107"/>
      <c r="AD13" s="107"/>
      <c r="AE13" s="107"/>
      <c r="AF13" s="107"/>
      <c r="AG13" s="107"/>
      <c r="AH13" s="108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8"/>
      <c r="BB13" s="108"/>
      <c r="BC13" s="108"/>
      <c r="BD13" s="108"/>
      <c r="BE13" s="108"/>
      <c r="BF13" s="107">
        <f t="shared" si="0"/>
        <v>0</v>
      </c>
    </row>
    <row r="14" spans="1:58" ht="15" x14ac:dyDescent="0.25">
      <c r="A14" s="31">
        <f t="shared" si="1"/>
        <v>9</v>
      </c>
      <c r="B14" s="105" t="s">
        <v>352</v>
      </c>
      <c r="C14" s="33">
        <v>45299</v>
      </c>
      <c r="D14" s="107"/>
      <c r="E14" s="107"/>
      <c r="F14" s="109"/>
      <c r="G14" s="107">
        <v>-57.5</v>
      </c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>
        <v>57.5</v>
      </c>
      <c r="BA14" s="108"/>
      <c r="BB14" s="108"/>
      <c r="BC14" s="108"/>
      <c r="BD14" s="108"/>
      <c r="BE14" s="108"/>
      <c r="BF14" s="107">
        <f t="shared" si="0"/>
        <v>0</v>
      </c>
    </row>
    <row r="15" spans="1:58" ht="15" x14ac:dyDescent="0.25">
      <c r="A15" s="31">
        <f t="shared" si="1"/>
        <v>10</v>
      </c>
      <c r="B15" s="105" t="s">
        <v>389</v>
      </c>
      <c r="C15" s="33">
        <v>45310</v>
      </c>
      <c r="D15" s="107"/>
      <c r="E15" s="107"/>
      <c r="F15" s="109"/>
      <c r="G15" s="107">
        <v>-407.65</v>
      </c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8"/>
      <c r="AI15" s="107"/>
      <c r="AJ15" s="107"/>
      <c r="AK15" s="107"/>
      <c r="AL15" s="107"/>
      <c r="AM15" s="107"/>
      <c r="AN15" s="107"/>
      <c r="AO15" s="107">
        <v>407.65</v>
      </c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8"/>
      <c r="BB15" s="108"/>
      <c r="BC15" s="108"/>
      <c r="BD15" s="108"/>
      <c r="BE15" s="108"/>
      <c r="BF15" s="107">
        <f t="shared" si="0"/>
        <v>0</v>
      </c>
    </row>
    <row r="16" spans="1:58" ht="15" x14ac:dyDescent="0.25">
      <c r="A16" s="31">
        <f t="shared" si="1"/>
        <v>11</v>
      </c>
      <c r="B16" s="105" t="s">
        <v>383</v>
      </c>
      <c r="C16" s="33">
        <v>45313</v>
      </c>
      <c r="D16" s="107"/>
      <c r="E16" s="107"/>
      <c r="F16" s="109"/>
      <c r="G16" s="107">
        <v>200</v>
      </c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>
        <v>-200</v>
      </c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8"/>
      <c r="BB16" s="108"/>
      <c r="BC16" s="108"/>
      <c r="BD16" s="108"/>
      <c r="BE16" s="108"/>
      <c r="BF16" s="107">
        <f t="shared" si="0"/>
        <v>0</v>
      </c>
    </row>
    <row r="17" spans="1:58" ht="15" x14ac:dyDescent="0.25">
      <c r="A17" s="31">
        <f t="shared" si="1"/>
        <v>12</v>
      </c>
      <c r="B17" s="105" t="s">
        <v>452</v>
      </c>
      <c r="C17" s="112">
        <v>45313</v>
      </c>
      <c r="D17" s="107"/>
      <c r="E17" s="107"/>
      <c r="F17" s="109"/>
      <c r="G17" s="107">
        <v>-2517</v>
      </c>
      <c r="H17" s="107"/>
      <c r="I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>
        <v>2517</v>
      </c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8"/>
      <c r="BB17" s="108"/>
      <c r="BC17" s="108"/>
      <c r="BD17" s="108"/>
      <c r="BE17" s="108"/>
      <c r="BF17" s="107">
        <f t="shared" si="0"/>
        <v>0</v>
      </c>
    </row>
    <row r="18" spans="1:58" ht="15" x14ac:dyDescent="0.25">
      <c r="A18" s="31">
        <f t="shared" si="1"/>
        <v>13</v>
      </c>
      <c r="B18" s="105" t="s">
        <v>384</v>
      </c>
      <c r="C18" s="112">
        <v>45314</v>
      </c>
      <c r="D18" s="107"/>
      <c r="E18" s="107"/>
      <c r="F18" s="109"/>
      <c r="G18" s="107">
        <v>150</v>
      </c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>
        <v>-150</v>
      </c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8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8"/>
      <c r="BB18" s="108"/>
      <c r="BC18" s="108"/>
      <c r="BD18" s="108"/>
      <c r="BE18" s="108"/>
      <c r="BF18" s="107">
        <f t="shared" si="0"/>
        <v>0</v>
      </c>
    </row>
    <row r="19" spans="1:58" ht="15" x14ac:dyDescent="0.25">
      <c r="A19" s="31">
        <f t="shared" si="1"/>
        <v>14</v>
      </c>
      <c r="B19" s="105" t="s">
        <v>385</v>
      </c>
      <c r="C19" s="33">
        <v>45377</v>
      </c>
      <c r="D19" s="107"/>
      <c r="E19" s="107"/>
      <c r="F19" s="109"/>
      <c r="G19" s="107">
        <v>100</v>
      </c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>
        <v>-100</v>
      </c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8"/>
      <c r="BB19" s="108"/>
      <c r="BC19" s="108"/>
      <c r="BD19" s="108"/>
      <c r="BE19" s="108"/>
      <c r="BF19" s="107">
        <f t="shared" si="0"/>
        <v>0</v>
      </c>
    </row>
    <row r="20" spans="1:58" ht="15" x14ac:dyDescent="0.25">
      <c r="A20" s="31">
        <f t="shared" si="1"/>
        <v>15</v>
      </c>
      <c r="B20" s="105" t="s">
        <v>386</v>
      </c>
      <c r="C20" s="33">
        <v>45377</v>
      </c>
      <c r="D20" s="107"/>
      <c r="E20" s="107"/>
      <c r="F20" s="109"/>
      <c r="G20" s="107">
        <v>-1150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>
        <v>1150</v>
      </c>
      <c r="AX20" s="107"/>
      <c r="AY20" s="107"/>
      <c r="AZ20" s="107"/>
      <c r="BA20" s="108"/>
      <c r="BB20" s="108"/>
      <c r="BC20" s="108"/>
      <c r="BD20" s="108"/>
      <c r="BE20" s="108"/>
      <c r="BF20" s="107">
        <f t="shared" si="0"/>
        <v>0</v>
      </c>
    </row>
    <row r="21" spans="1:58" ht="15" x14ac:dyDescent="0.25">
      <c r="A21" s="31">
        <f t="shared" si="1"/>
        <v>16</v>
      </c>
      <c r="B21" s="105" t="s">
        <v>387</v>
      </c>
      <c r="C21" s="33">
        <v>45321</v>
      </c>
      <c r="D21" s="107"/>
      <c r="E21" s="107"/>
      <c r="F21" s="109"/>
      <c r="G21" s="107">
        <v>200</v>
      </c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>
        <v>-200</v>
      </c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8"/>
      <c r="BB21" s="108"/>
      <c r="BC21" s="108"/>
      <c r="BD21" s="108"/>
      <c r="BE21" s="108"/>
      <c r="BF21" s="107">
        <f t="shared" si="0"/>
        <v>0</v>
      </c>
    </row>
    <row r="22" spans="1:58" ht="15" x14ac:dyDescent="0.25">
      <c r="A22" s="31">
        <f t="shared" si="1"/>
        <v>17</v>
      </c>
      <c r="B22" s="105" t="s">
        <v>388</v>
      </c>
      <c r="C22" s="33">
        <v>45322</v>
      </c>
      <c r="D22" s="107"/>
      <c r="E22" s="107"/>
      <c r="F22" s="109"/>
      <c r="G22" s="107">
        <v>200</v>
      </c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>
        <v>-200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8"/>
      <c r="BB22" s="108"/>
      <c r="BC22" s="108"/>
      <c r="BD22" s="108"/>
      <c r="BE22" s="108"/>
      <c r="BF22" s="107">
        <f t="shared" si="0"/>
        <v>0</v>
      </c>
    </row>
    <row r="23" spans="1:58" ht="15" x14ac:dyDescent="0.25">
      <c r="A23" s="31">
        <f t="shared" si="1"/>
        <v>18</v>
      </c>
      <c r="B23" s="105" t="s">
        <v>390</v>
      </c>
      <c r="C23" s="33">
        <v>45323</v>
      </c>
      <c r="D23" s="107"/>
      <c r="E23" s="107">
        <v>-10660</v>
      </c>
      <c r="F23" s="109"/>
      <c r="G23" s="107">
        <v>10660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8"/>
      <c r="BB23" s="108"/>
      <c r="BC23" s="108"/>
      <c r="BD23" s="108"/>
      <c r="BE23" s="108"/>
      <c r="BF23" s="107">
        <f t="shared" si="0"/>
        <v>0</v>
      </c>
    </row>
    <row r="24" spans="1:58" ht="15" x14ac:dyDescent="0.25">
      <c r="A24" s="31">
        <f t="shared" si="1"/>
        <v>19</v>
      </c>
      <c r="B24" s="105" t="s">
        <v>363</v>
      </c>
      <c r="C24" s="33">
        <v>45327</v>
      </c>
      <c r="D24" s="107"/>
      <c r="E24" s="107"/>
      <c r="F24" s="109"/>
      <c r="G24" s="107">
        <v>200</v>
      </c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>
        <v>-200</v>
      </c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8"/>
      <c r="BB24" s="108"/>
      <c r="BC24" s="108"/>
      <c r="BD24" s="108"/>
      <c r="BE24" s="108"/>
      <c r="BF24" s="107">
        <f t="shared" si="0"/>
        <v>0</v>
      </c>
    </row>
    <row r="25" spans="1:58" x14ac:dyDescent="0.2">
      <c r="A25" s="31">
        <f t="shared" si="1"/>
        <v>20</v>
      </c>
      <c r="B25" s="104" t="s">
        <v>364</v>
      </c>
      <c r="C25" s="33">
        <v>45327</v>
      </c>
      <c r="D25" s="107"/>
      <c r="E25" s="107"/>
      <c r="F25" s="107"/>
      <c r="G25" s="107">
        <v>200</v>
      </c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>
        <v>-200</v>
      </c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8"/>
      <c r="BB25" s="108"/>
      <c r="BC25" s="108"/>
      <c r="BE25" s="108"/>
      <c r="BF25" s="107">
        <f t="shared" si="0"/>
        <v>0</v>
      </c>
    </row>
    <row r="26" spans="1:58" x14ac:dyDescent="0.2">
      <c r="A26" s="31">
        <f t="shared" si="1"/>
        <v>21</v>
      </c>
      <c r="B26" s="104" t="s">
        <v>365</v>
      </c>
      <c r="C26" s="33">
        <v>45327</v>
      </c>
      <c r="D26" s="107"/>
      <c r="E26" s="107"/>
      <c r="F26" s="107"/>
      <c r="G26" s="107">
        <v>200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>
        <v>-200</v>
      </c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8"/>
      <c r="BB26" s="108"/>
      <c r="BC26" s="108"/>
      <c r="BD26" s="108"/>
      <c r="BE26" s="108"/>
      <c r="BF26" s="107">
        <f t="shared" si="0"/>
        <v>0</v>
      </c>
    </row>
    <row r="27" spans="1:58" x14ac:dyDescent="0.2">
      <c r="A27" s="31">
        <f t="shared" si="1"/>
        <v>22</v>
      </c>
      <c r="B27" s="104" t="s">
        <v>366</v>
      </c>
      <c r="C27" s="33">
        <v>45327</v>
      </c>
      <c r="D27" s="107"/>
      <c r="E27" s="107"/>
      <c r="F27" s="107"/>
      <c r="G27" s="107">
        <v>400</v>
      </c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>
        <v>-400</v>
      </c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8"/>
      <c r="BB27" s="108"/>
      <c r="BC27" s="108"/>
      <c r="BD27" s="108"/>
      <c r="BE27" s="108"/>
      <c r="BF27" s="107">
        <f t="shared" si="0"/>
        <v>0</v>
      </c>
    </row>
    <row r="28" spans="1:58" x14ac:dyDescent="0.2">
      <c r="A28" s="31">
        <f t="shared" si="1"/>
        <v>23</v>
      </c>
      <c r="B28" s="104" t="s">
        <v>352</v>
      </c>
      <c r="C28" s="33">
        <v>45327</v>
      </c>
      <c r="D28" s="107"/>
      <c r="E28" s="107"/>
      <c r="F28" s="107"/>
      <c r="G28" s="107">
        <v>-77</v>
      </c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>
        <v>77</v>
      </c>
      <c r="BA28" s="108"/>
      <c r="BB28" s="108"/>
      <c r="BC28" s="108"/>
      <c r="BD28" s="108"/>
      <c r="BE28" s="108"/>
      <c r="BF28" s="107">
        <f t="shared" si="0"/>
        <v>0</v>
      </c>
    </row>
    <row r="29" spans="1:58" x14ac:dyDescent="0.2">
      <c r="A29" s="31">
        <f t="shared" si="1"/>
        <v>24</v>
      </c>
      <c r="B29" s="104" t="s">
        <v>367</v>
      </c>
      <c r="C29" s="33">
        <v>45327</v>
      </c>
      <c r="D29" s="107"/>
      <c r="E29" s="107"/>
      <c r="F29" s="107"/>
      <c r="G29" s="107">
        <v>300</v>
      </c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>
        <v>-300</v>
      </c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8"/>
      <c r="BB29" s="108"/>
      <c r="BC29" s="108"/>
      <c r="BD29" s="108"/>
      <c r="BE29" s="108"/>
      <c r="BF29" s="107">
        <f t="shared" si="0"/>
        <v>0</v>
      </c>
    </row>
    <row r="30" spans="1:58" x14ac:dyDescent="0.2">
      <c r="A30" s="31">
        <f t="shared" si="1"/>
        <v>25</v>
      </c>
      <c r="B30" s="104" t="s">
        <v>368</v>
      </c>
      <c r="C30" s="33">
        <v>45328</v>
      </c>
      <c r="D30" s="107"/>
      <c r="E30" s="107"/>
      <c r="F30" s="107"/>
      <c r="G30" s="107">
        <v>400</v>
      </c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>
        <v>-400</v>
      </c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8"/>
      <c r="BB30" s="108"/>
      <c r="BC30" s="108"/>
      <c r="BD30" s="108"/>
      <c r="BE30" s="108"/>
      <c r="BF30" s="107">
        <f t="shared" si="0"/>
        <v>0</v>
      </c>
    </row>
    <row r="31" spans="1:58" x14ac:dyDescent="0.2">
      <c r="A31" s="31">
        <f t="shared" si="1"/>
        <v>26</v>
      </c>
      <c r="B31" s="104" t="s">
        <v>369</v>
      </c>
      <c r="C31" s="33">
        <v>45328</v>
      </c>
      <c r="D31" s="107"/>
      <c r="E31" s="107"/>
      <c r="F31" s="107"/>
      <c r="G31" s="107">
        <v>200</v>
      </c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>
        <v>-200</v>
      </c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8"/>
      <c r="BB31" s="108"/>
      <c r="BC31" s="108"/>
      <c r="BD31" s="108"/>
      <c r="BE31" s="108"/>
      <c r="BF31" s="107">
        <f t="shared" si="0"/>
        <v>0</v>
      </c>
    </row>
    <row r="32" spans="1:58" x14ac:dyDescent="0.2">
      <c r="A32" s="31">
        <f t="shared" si="1"/>
        <v>27</v>
      </c>
      <c r="B32" s="104" t="s">
        <v>370</v>
      </c>
      <c r="C32" s="33">
        <v>45330</v>
      </c>
      <c r="D32" s="107"/>
      <c r="E32" s="107"/>
      <c r="F32" s="107"/>
      <c r="G32" s="107">
        <v>150</v>
      </c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>
        <v>-150</v>
      </c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8"/>
      <c r="BB32" s="108"/>
      <c r="BC32" s="108"/>
      <c r="BD32" s="108"/>
      <c r="BE32" s="108"/>
      <c r="BF32" s="107">
        <f t="shared" si="0"/>
        <v>0</v>
      </c>
    </row>
    <row r="33" spans="1:58" x14ac:dyDescent="0.2">
      <c r="A33" s="31">
        <f t="shared" si="1"/>
        <v>28</v>
      </c>
      <c r="B33" s="104" t="s">
        <v>393</v>
      </c>
      <c r="C33" s="33">
        <v>45337</v>
      </c>
      <c r="D33" s="107"/>
      <c r="E33" s="107"/>
      <c r="F33" s="107"/>
      <c r="G33" s="107">
        <v>-45000</v>
      </c>
      <c r="H33" s="107">
        <v>45000</v>
      </c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8"/>
      <c r="BB33" s="108"/>
      <c r="BC33" s="108"/>
      <c r="BD33" s="108"/>
      <c r="BE33" s="108"/>
      <c r="BF33" s="107">
        <f t="shared" si="0"/>
        <v>0</v>
      </c>
    </row>
    <row r="34" spans="1:58" x14ac:dyDescent="0.2">
      <c r="A34" s="31">
        <f t="shared" si="1"/>
        <v>29</v>
      </c>
      <c r="B34" s="104" t="s">
        <v>371</v>
      </c>
      <c r="C34" s="33">
        <v>45337</v>
      </c>
      <c r="D34" s="107"/>
      <c r="E34" s="107"/>
      <c r="F34" s="107"/>
      <c r="G34" s="107">
        <v>-952</v>
      </c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>
        <v>952</v>
      </c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8"/>
      <c r="BB34" s="108"/>
      <c r="BC34" s="108"/>
      <c r="BD34" s="108"/>
      <c r="BE34" s="108"/>
      <c r="BF34" s="107">
        <f t="shared" si="0"/>
        <v>0</v>
      </c>
    </row>
    <row r="35" spans="1:58" x14ac:dyDescent="0.2">
      <c r="A35" s="31">
        <f t="shared" si="1"/>
        <v>30</v>
      </c>
      <c r="B35" s="104" t="s">
        <v>371</v>
      </c>
      <c r="C35" s="33">
        <v>45337</v>
      </c>
      <c r="D35" s="107"/>
      <c r="E35" s="107"/>
      <c r="F35" s="107"/>
      <c r="G35" s="107">
        <v>-440.05</v>
      </c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>
        <v>440.05</v>
      </c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8"/>
      <c r="BB35" s="108"/>
      <c r="BC35" s="108"/>
      <c r="BD35" s="108"/>
      <c r="BE35" s="108"/>
      <c r="BF35" s="107">
        <f t="shared" si="0"/>
        <v>0</v>
      </c>
    </row>
    <row r="36" spans="1:58" x14ac:dyDescent="0.2">
      <c r="A36" s="31">
        <f t="shared" si="1"/>
        <v>31</v>
      </c>
      <c r="B36" s="104" t="s">
        <v>371</v>
      </c>
      <c r="C36" s="33">
        <v>45344</v>
      </c>
      <c r="D36" s="107"/>
      <c r="E36" s="107"/>
      <c r="F36" s="107"/>
      <c r="G36" s="107">
        <v>150</v>
      </c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>
        <v>-150</v>
      </c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8"/>
      <c r="BB36" s="108"/>
      <c r="BC36" s="108"/>
      <c r="BD36" s="108"/>
      <c r="BE36" s="108"/>
      <c r="BF36" s="107">
        <f t="shared" si="0"/>
        <v>0</v>
      </c>
    </row>
    <row r="37" spans="1:58" x14ac:dyDescent="0.2">
      <c r="A37" s="31">
        <f t="shared" si="1"/>
        <v>32</v>
      </c>
      <c r="B37" s="104" t="s">
        <v>371</v>
      </c>
      <c r="C37" s="33">
        <v>45355</v>
      </c>
      <c r="D37" s="107"/>
      <c r="E37" s="107"/>
      <c r="F37" s="107"/>
      <c r="G37" s="107">
        <v>-435.56</v>
      </c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>
        <v>435.56</v>
      </c>
      <c r="AY37" s="107"/>
      <c r="AZ37" s="107"/>
      <c r="BA37" s="108"/>
      <c r="BB37" s="108"/>
      <c r="BC37" s="108"/>
      <c r="BD37" s="108"/>
      <c r="BE37" s="108"/>
      <c r="BF37" s="107">
        <f t="shared" ref="BF37:BF68" si="2">SUM(D37:BE37)</f>
        <v>0</v>
      </c>
    </row>
    <row r="38" spans="1:58" x14ac:dyDescent="0.2">
      <c r="A38" s="31">
        <f t="shared" si="1"/>
        <v>33</v>
      </c>
      <c r="B38" s="104" t="s">
        <v>371</v>
      </c>
      <c r="C38" s="33">
        <v>45355</v>
      </c>
      <c r="D38" s="107"/>
      <c r="E38" s="107"/>
      <c r="F38" s="107"/>
      <c r="G38" s="107">
        <v>-380.06</v>
      </c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>
        <v>380.06</v>
      </c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8"/>
      <c r="BB38" s="108"/>
      <c r="BC38" s="108"/>
      <c r="BD38" s="108"/>
      <c r="BE38" s="108"/>
      <c r="BF38" s="107">
        <f t="shared" si="2"/>
        <v>0</v>
      </c>
    </row>
    <row r="39" spans="1:58" x14ac:dyDescent="0.2">
      <c r="A39" s="31">
        <f t="shared" si="1"/>
        <v>34</v>
      </c>
      <c r="B39" s="104" t="s">
        <v>352</v>
      </c>
      <c r="C39" s="33">
        <v>45355</v>
      </c>
      <c r="D39" s="107"/>
      <c r="E39" s="107"/>
      <c r="F39" s="107"/>
      <c r="G39" s="107">
        <v>-44</v>
      </c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>
        <v>44</v>
      </c>
      <c r="BA39" s="108"/>
      <c r="BB39" s="108"/>
      <c r="BC39" s="108"/>
      <c r="BD39" s="108"/>
      <c r="BE39" s="108"/>
      <c r="BF39" s="107">
        <f t="shared" si="2"/>
        <v>0</v>
      </c>
    </row>
    <row r="40" spans="1:58" x14ac:dyDescent="0.2">
      <c r="A40" s="31">
        <f t="shared" si="1"/>
        <v>35</v>
      </c>
      <c r="B40" s="104" t="s">
        <v>386</v>
      </c>
      <c r="C40" s="33">
        <v>45362</v>
      </c>
      <c r="D40" s="107"/>
      <c r="E40" s="107"/>
      <c r="F40" s="107"/>
      <c r="G40" s="107">
        <v>-690</v>
      </c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>
        <v>690</v>
      </c>
      <c r="AX40" s="107"/>
      <c r="AY40" s="107"/>
      <c r="AZ40" s="107"/>
      <c r="BA40" s="108"/>
      <c r="BB40" s="108"/>
      <c r="BC40" s="108"/>
      <c r="BD40" s="108"/>
      <c r="BE40" s="108"/>
      <c r="BF40" s="107">
        <f t="shared" si="2"/>
        <v>0</v>
      </c>
    </row>
    <row r="41" spans="1:58" x14ac:dyDescent="0.2">
      <c r="A41" s="31">
        <f t="shared" si="1"/>
        <v>36</v>
      </c>
      <c r="B41" s="104" t="s">
        <v>371</v>
      </c>
      <c r="C41" s="33">
        <v>45362</v>
      </c>
      <c r="D41" s="107"/>
      <c r="E41" s="107"/>
      <c r="F41" s="107"/>
      <c r="G41" s="107">
        <v>-223</v>
      </c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>
        <v>223</v>
      </c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8"/>
      <c r="BB41" s="108"/>
      <c r="BC41" s="108"/>
      <c r="BD41" s="108"/>
      <c r="BE41" s="108"/>
      <c r="BF41" s="107">
        <f t="shared" si="2"/>
        <v>0</v>
      </c>
    </row>
    <row r="42" spans="1:58" x14ac:dyDescent="0.2">
      <c r="A42" s="31">
        <f t="shared" si="1"/>
        <v>37</v>
      </c>
      <c r="B42" s="104" t="s">
        <v>373</v>
      </c>
      <c r="C42" s="33">
        <v>45365</v>
      </c>
      <c r="D42" s="107"/>
      <c r="E42" s="107"/>
      <c r="F42" s="107"/>
      <c r="G42" s="107">
        <v>-8991.9599999999991</v>
      </c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>
        <v>8991.9599999999991</v>
      </c>
      <c r="AY42" s="107"/>
      <c r="AZ42" s="107"/>
      <c r="BA42" s="108"/>
      <c r="BB42" s="108"/>
      <c r="BC42" s="108"/>
      <c r="BD42" s="108"/>
      <c r="BE42" s="108"/>
      <c r="BF42" s="107">
        <f t="shared" si="2"/>
        <v>0</v>
      </c>
    </row>
    <row r="43" spans="1:58" x14ac:dyDescent="0.2">
      <c r="A43" s="31">
        <f t="shared" si="1"/>
        <v>38</v>
      </c>
      <c r="B43" s="104" t="s">
        <v>393</v>
      </c>
      <c r="C43" s="33">
        <v>45370</v>
      </c>
      <c r="D43" s="107"/>
      <c r="E43" s="107"/>
      <c r="F43" s="107"/>
      <c r="G43" s="107">
        <v>65000</v>
      </c>
      <c r="H43" s="107">
        <v>-65000</v>
      </c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8"/>
      <c r="BB43" s="108"/>
      <c r="BC43" s="108"/>
      <c r="BD43" s="108"/>
      <c r="BE43" s="108"/>
      <c r="BF43" s="107">
        <f t="shared" si="2"/>
        <v>0</v>
      </c>
    </row>
    <row r="44" spans="1:58" x14ac:dyDescent="0.2">
      <c r="A44" s="31">
        <f t="shared" si="1"/>
        <v>39</v>
      </c>
      <c r="B44" s="104" t="s">
        <v>374</v>
      </c>
      <c r="C44" s="33">
        <v>45370</v>
      </c>
      <c r="D44" s="107"/>
      <c r="E44" s="107"/>
      <c r="F44" s="107"/>
      <c r="G44" s="107">
        <v>-14040</v>
      </c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>
        <v>14040</v>
      </c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8"/>
      <c r="BB44" s="108"/>
      <c r="BC44" s="108"/>
      <c r="BD44" s="108"/>
      <c r="BE44" s="108"/>
      <c r="BF44" s="107">
        <f t="shared" si="2"/>
        <v>0</v>
      </c>
    </row>
    <row r="45" spans="1:58" x14ac:dyDescent="0.2">
      <c r="A45" s="31">
        <f t="shared" si="1"/>
        <v>40</v>
      </c>
      <c r="B45" s="104" t="s">
        <v>452</v>
      </c>
      <c r="C45" s="33">
        <v>45370</v>
      </c>
      <c r="D45" s="107"/>
      <c r="E45" s="107"/>
      <c r="F45" s="107"/>
      <c r="G45" s="107">
        <v>-2986</v>
      </c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>
        <v>2986</v>
      </c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8"/>
      <c r="BB45" s="108"/>
      <c r="BC45" s="108"/>
      <c r="BD45" s="108"/>
      <c r="BE45" s="108"/>
      <c r="BF45" s="107">
        <f t="shared" si="2"/>
        <v>0</v>
      </c>
    </row>
    <row r="46" spans="1:58" x14ac:dyDescent="0.2">
      <c r="A46" s="31">
        <f t="shared" si="1"/>
        <v>41</v>
      </c>
      <c r="B46" s="104" t="s">
        <v>375</v>
      </c>
      <c r="C46" s="33">
        <v>45373</v>
      </c>
      <c r="D46" s="107"/>
      <c r="E46" s="107"/>
      <c r="F46" s="107"/>
      <c r="G46" s="107">
        <v>-47025.94</v>
      </c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>
        <v>47025.94</v>
      </c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8"/>
      <c r="BB46" s="108"/>
      <c r="BC46" s="108"/>
      <c r="BD46" s="108"/>
      <c r="BE46" s="108"/>
      <c r="BF46" s="107">
        <f t="shared" si="2"/>
        <v>0</v>
      </c>
    </row>
    <row r="47" spans="1:58" x14ac:dyDescent="0.2">
      <c r="A47" s="31">
        <f t="shared" si="1"/>
        <v>42</v>
      </c>
      <c r="B47" s="104" t="s">
        <v>394</v>
      </c>
      <c r="C47" s="33">
        <v>45384</v>
      </c>
      <c r="D47" s="107"/>
      <c r="E47" s="107"/>
      <c r="F47" s="107"/>
      <c r="G47" s="107">
        <v>2858267.73</v>
      </c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>
        <v>-2858267.73</v>
      </c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8"/>
      <c r="BB47" s="108"/>
      <c r="BC47" s="108"/>
      <c r="BD47" s="108"/>
      <c r="BE47" s="108"/>
      <c r="BF47" s="107">
        <f t="shared" si="2"/>
        <v>0</v>
      </c>
    </row>
    <row r="48" spans="1:58" x14ac:dyDescent="0.2">
      <c r="A48" s="31">
        <f t="shared" si="1"/>
        <v>43</v>
      </c>
      <c r="B48" s="104" t="s">
        <v>391</v>
      </c>
      <c r="C48" s="33">
        <v>45384</v>
      </c>
      <c r="D48" s="107"/>
      <c r="E48" s="107"/>
      <c r="F48" s="107"/>
      <c r="G48" s="107">
        <v>-2850000</v>
      </c>
      <c r="H48" s="107">
        <v>2850000</v>
      </c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8"/>
      <c r="BB48" s="108"/>
      <c r="BC48" s="108"/>
      <c r="BD48" s="108"/>
      <c r="BE48" s="108"/>
      <c r="BF48" s="107">
        <f t="shared" si="2"/>
        <v>0</v>
      </c>
    </row>
    <row r="49" spans="1:58" x14ac:dyDescent="0.2">
      <c r="A49" s="31">
        <f t="shared" si="1"/>
        <v>44</v>
      </c>
      <c r="B49" s="104" t="s">
        <v>386</v>
      </c>
      <c r="C49" s="33">
        <v>45385</v>
      </c>
      <c r="D49" s="107"/>
      <c r="E49" s="107"/>
      <c r="F49" s="107"/>
      <c r="G49" s="107">
        <v>50</v>
      </c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I49" s="107"/>
      <c r="AJ49" s="107"/>
      <c r="AK49" s="107"/>
      <c r="AL49" s="107"/>
      <c r="AM49" s="107"/>
      <c r="AN49" s="107"/>
      <c r="AO49" s="107">
        <v>-50</v>
      </c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8"/>
      <c r="BB49" s="108"/>
      <c r="BC49" s="108"/>
      <c r="BD49" s="108"/>
      <c r="BE49" s="108"/>
      <c r="BF49" s="107">
        <f t="shared" si="2"/>
        <v>0</v>
      </c>
    </row>
    <row r="50" spans="1:58" x14ac:dyDescent="0.2">
      <c r="A50" s="31">
        <f t="shared" si="1"/>
        <v>45</v>
      </c>
      <c r="B50" s="104" t="s">
        <v>386</v>
      </c>
      <c r="C50" s="33">
        <v>45385</v>
      </c>
      <c r="D50" s="107"/>
      <c r="E50" s="107"/>
      <c r="F50" s="107"/>
      <c r="G50" s="107">
        <v>-2982</v>
      </c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>
        <v>2982</v>
      </c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8"/>
      <c r="BB50" s="108"/>
      <c r="BC50" s="108"/>
      <c r="BD50" s="108"/>
      <c r="BE50" s="108"/>
      <c r="BF50" s="107">
        <f t="shared" si="2"/>
        <v>0</v>
      </c>
    </row>
    <row r="51" spans="1:58" x14ac:dyDescent="0.2">
      <c r="A51" s="31">
        <f t="shared" si="1"/>
        <v>46</v>
      </c>
      <c r="B51" s="104" t="s">
        <v>386</v>
      </c>
      <c r="C51" s="33">
        <v>45385</v>
      </c>
      <c r="D51" s="107"/>
      <c r="E51" s="107"/>
      <c r="F51" s="107"/>
      <c r="G51" s="107">
        <v>-2066</v>
      </c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I51" s="107"/>
      <c r="AJ51" s="107"/>
      <c r="AK51" s="107"/>
      <c r="AL51" s="107">
        <v>2066</v>
      </c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8"/>
      <c r="BB51" s="108"/>
      <c r="BC51" s="108"/>
      <c r="BD51" s="108"/>
      <c r="BE51" s="108"/>
      <c r="BF51" s="107">
        <f t="shared" si="2"/>
        <v>0</v>
      </c>
    </row>
    <row r="52" spans="1:58" x14ac:dyDescent="0.2">
      <c r="A52" s="31">
        <f t="shared" si="1"/>
        <v>47</v>
      </c>
      <c r="B52" s="104" t="s">
        <v>386</v>
      </c>
      <c r="C52" s="33">
        <v>45385</v>
      </c>
      <c r="D52" s="107"/>
      <c r="E52" s="107"/>
      <c r="F52" s="107"/>
      <c r="G52" s="107">
        <v>-1800</v>
      </c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>
        <v>1800</v>
      </c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8"/>
      <c r="BB52" s="108"/>
      <c r="BC52" s="108"/>
      <c r="BD52" s="108"/>
      <c r="BE52" s="108"/>
      <c r="BF52" s="107">
        <f t="shared" si="2"/>
        <v>0</v>
      </c>
    </row>
    <row r="53" spans="1:58" x14ac:dyDescent="0.2">
      <c r="A53" s="31">
        <f t="shared" si="1"/>
        <v>48</v>
      </c>
      <c r="B53" s="104" t="s">
        <v>386</v>
      </c>
      <c r="C53" s="33">
        <v>45385</v>
      </c>
      <c r="D53" s="107"/>
      <c r="E53" s="107"/>
      <c r="F53" s="107"/>
      <c r="G53" s="107">
        <v>-1180</v>
      </c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>
        <v>1180</v>
      </c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8"/>
      <c r="BB53" s="108"/>
      <c r="BC53" s="108"/>
      <c r="BD53" s="108"/>
      <c r="BE53" s="108"/>
      <c r="BF53" s="107">
        <f t="shared" si="2"/>
        <v>0</v>
      </c>
    </row>
    <row r="54" spans="1:58" x14ac:dyDescent="0.2">
      <c r="A54" s="31">
        <f t="shared" si="1"/>
        <v>49</v>
      </c>
      <c r="B54" s="104" t="s">
        <v>386</v>
      </c>
      <c r="C54" s="33">
        <v>45385</v>
      </c>
      <c r="D54" s="107"/>
      <c r="E54" s="107"/>
      <c r="F54" s="107"/>
      <c r="G54" s="107">
        <v>-1056</v>
      </c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I54" s="107"/>
      <c r="AJ54" s="107"/>
      <c r="AK54" s="107"/>
      <c r="AL54" s="107">
        <v>1056</v>
      </c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8"/>
      <c r="BB54" s="108"/>
      <c r="BC54" s="108"/>
      <c r="BD54" s="108"/>
      <c r="BE54" s="108"/>
      <c r="BF54" s="107">
        <f t="shared" si="2"/>
        <v>0</v>
      </c>
    </row>
    <row r="55" spans="1:58" x14ac:dyDescent="0.2">
      <c r="A55" s="31">
        <f t="shared" si="1"/>
        <v>50</v>
      </c>
      <c r="B55" s="104" t="s">
        <v>386</v>
      </c>
      <c r="C55" s="33">
        <v>45385</v>
      </c>
      <c r="D55" s="107"/>
      <c r="E55" s="107"/>
      <c r="F55" s="107"/>
      <c r="G55" s="107">
        <v>-916</v>
      </c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I55" s="107"/>
      <c r="AJ55" s="107"/>
      <c r="AK55" s="107"/>
      <c r="AL55" s="107">
        <v>916</v>
      </c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8"/>
      <c r="BB55" s="108"/>
      <c r="BC55" s="108"/>
      <c r="BD55" s="108"/>
      <c r="BE55" s="108"/>
      <c r="BF55" s="107">
        <f t="shared" si="2"/>
        <v>0</v>
      </c>
    </row>
    <row r="56" spans="1:58" x14ac:dyDescent="0.2">
      <c r="A56" s="31">
        <f t="shared" si="1"/>
        <v>51</v>
      </c>
      <c r="B56" s="104" t="s">
        <v>386</v>
      </c>
      <c r="C56" s="33">
        <v>45385</v>
      </c>
      <c r="D56" s="107"/>
      <c r="E56" s="107"/>
      <c r="F56" s="107"/>
      <c r="G56" s="107">
        <v>-916</v>
      </c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I56" s="107"/>
      <c r="AJ56" s="107"/>
      <c r="AK56" s="107"/>
      <c r="AL56" s="107">
        <v>916</v>
      </c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8"/>
      <c r="BB56" s="108"/>
      <c r="BC56" s="108"/>
      <c r="BD56" s="108"/>
      <c r="BE56" s="108"/>
      <c r="BF56" s="107">
        <f t="shared" si="2"/>
        <v>0</v>
      </c>
    </row>
    <row r="57" spans="1:58" x14ac:dyDescent="0.2">
      <c r="A57" s="31">
        <f t="shared" si="1"/>
        <v>52</v>
      </c>
      <c r="B57" s="104" t="s">
        <v>386</v>
      </c>
      <c r="C57" s="33">
        <v>45386</v>
      </c>
      <c r="D57" s="107"/>
      <c r="E57" s="107"/>
      <c r="F57" s="107"/>
      <c r="G57" s="107">
        <v>2982</v>
      </c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>
        <v>-2982</v>
      </c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8"/>
      <c r="BB57" s="108"/>
      <c r="BC57" s="108"/>
      <c r="BD57" s="108"/>
      <c r="BE57" s="108"/>
      <c r="BF57" s="107">
        <f t="shared" si="2"/>
        <v>0</v>
      </c>
    </row>
    <row r="58" spans="1:58" x14ac:dyDescent="0.2">
      <c r="A58" s="31">
        <f t="shared" si="1"/>
        <v>53</v>
      </c>
      <c r="B58" s="104" t="s">
        <v>391</v>
      </c>
      <c r="C58" s="33">
        <v>45386</v>
      </c>
      <c r="D58" s="107"/>
      <c r="E58" s="107"/>
      <c r="F58" s="107"/>
      <c r="G58" s="107">
        <v>5000</v>
      </c>
      <c r="H58" s="107">
        <v>-5000</v>
      </c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8"/>
      <c r="BB58" s="108"/>
      <c r="BC58" s="108"/>
      <c r="BD58" s="108"/>
      <c r="BE58" s="108"/>
      <c r="BF58" s="107">
        <f t="shared" si="2"/>
        <v>0</v>
      </c>
    </row>
    <row r="59" spans="1:58" x14ac:dyDescent="0.2">
      <c r="A59" s="31">
        <f t="shared" si="1"/>
        <v>54</v>
      </c>
      <c r="B59" s="104" t="s">
        <v>416</v>
      </c>
      <c r="C59" s="33">
        <v>45386</v>
      </c>
      <c r="D59" s="107"/>
      <c r="E59" s="107"/>
      <c r="F59" s="107"/>
      <c r="G59" s="107">
        <v>-3000</v>
      </c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>
        <v>3000</v>
      </c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8"/>
      <c r="BB59" s="108"/>
      <c r="BC59" s="108"/>
      <c r="BD59" s="108"/>
      <c r="BE59" s="108"/>
      <c r="BF59" s="107">
        <f t="shared" si="2"/>
        <v>0</v>
      </c>
    </row>
    <row r="60" spans="1:58" x14ac:dyDescent="0.2">
      <c r="A60" s="31">
        <f t="shared" si="1"/>
        <v>55</v>
      </c>
      <c r="B60" s="104" t="s">
        <v>392</v>
      </c>
      <c r="C60" s="33">
        <v>45387</v>
      </c>
      <c r="D60" s="107"/>
      <c r="E60" s="107"/>
      <c r="F60" s="107"/>
      <c r="G60" s="107">
        <v>200</v>
      </c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>
        <v>-200</v>
      </c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8"/>
      <c r="BB60" s="108"/>
      <c r="BC60" s="108"/>
      <c r="BD60" s="108"/>
      <c r="BE60" s="108"/>
      <c r="BF60" s="107">
        <f t="shared" si="2"/>
        <v>0</v>
      </c>
    </row>
    <row r="61" spans="1:58" x14ac:dyDescent="0.2">
      <c r="A61" s="31">
        <f t="shared" si="1"/>
        <v>56</v>
      </c>
      <c r="B61" s="104" t="s">
        <v>352</v>
      </c>
      <c r="C61" s="33">
        <v>45390</v>
      </c>
      <c r="D61" s="107"/>
      <c r="E61" s="107"/>
      <c r="F61" s="107"/>
      <c r="G61" s="107">
        <v>-59</v>
      </c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>
        <v>59</v>
      </c>
      <c r="BA61" s="108"/>
      <c r="BB61" s="108"/>
      <c r="BC61" s="108"/>
      <c r="BD61" s="108"/>
      <c r="BE61" s="108"/>
      <c r="BF61" s="107">
        <f t="shared" si="2"/>
        <v>0</v>
      </c>
    </row>
    <row r="62" spans="1:58" x14ac:dyDescent="0.2">
      <c r="A62" s="31">
        <f t="shared" si="1"/>
        <v>57</v>
      </c>
      <c r="B62" s="104" t="s">
        <v>390</v>
      </c>
      <c r="C62" s="33">
        <v>45392</v>
      </c>
      <c r="D62" s="107"/>
      <c r="E62" s="107"/>
      <c r="F62" s="107"/>
      <c r="G62" s="107">
        <v>33125</v>
      </c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>
        <v>-33125</v>
      </c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8"/>
      <c r="BB62" s="108"/>
      <c r="BC62" s="108"/>
      <c r="BD62" s="108"/>
      <c r="BE62" s="108"/>
      <c r="BF62" s="107">
        <f t="shared" si="2"/>
        <v>0</v>
      </c>
    </row>
    <row r="63" spans="1:58" x14ac:dyDescent="0.2">
      <c r="A63" s="31">
        <f t="shared" si="1"/>
        <v>58</v>
      </c>
      <c r="B63" s="104" t="s">
        <v>453</v>
      </c>
      <c r="C63" s="33">
        <v>45394</v>
      </c>
      <c r="D63" s="107"/>
      <c r="E63" s="107"/>
      <c r="F63" s="107"/>
      <c r="G63" s="107">
        <v>-2652</v>
      </c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>
        <v>2652</v>
      </c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8"/>
      <c r="BB63" s="108"/>
      <c r="BC63" s="108"/>
      <c r="BD63" s="108"/>
      <c r="BE63" s="108"/>
      <c r="BF63" s="107">
        <f t="shared" si="2"/>
        <v>0</v>
      </c>
    </row>
    <row r="64" spans="1:58" x14ac:dyDescent="0.2">
      <c r="A64" s="31">
        <f t="shared" si="1"/>
        <v>59</v>
      </c>
      <c r="B64" s="104" t="s">
        <v>417</v>
      </c>
      <c r="C64" s="33">
        <v>45398</v>
      </c>
      <c r="D64" s="107"/>
      <c r="E64" s="107"/>
      <c r="F64" s="107"/>
      <c r="G64" s="107">
        <v>-2690</v>
      </c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I64" s="107"/>
      <c r="AJ64" s="107"/>
      <c r="AK64" s="107"/>
      <c r="AL64" s="107">
        <v>2690</v>
      </c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8"/>
      <c r="BB64" s="108"/>
      <c r="BC64" s="108"/>
      <c r="BD64" s="108"/>
      <c r="BE64" s="108"/>
      <c r="BF64" s="107">
        <f t="shared" si="2"/>
        <v>0</v>
      </c>
    </row>
    <row r="65" spans="1:58" x14ac:dyDescent="0.2">
      <c r="A65" s="31">
        <f t="shared" si="1"/>
        <v>60</v>
      </c>
      <c r="B65" s="104" t="s">
        <v>371</v>
      </c>
      <c r="C65" s="33">
        <v>45404</v>
      </c>
      <c r="D65" s="107"/>
      <c r="E65" s="107"/>
      <c r="F65" s="107"/>
      <c r="G65" s="107">
        <v>-1271</v>
      </c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>
        <v>1271</v>
      </c>
      <c r="AX65" s="107"/>
      <c r="AY65" s="107"/>
      <c r="AZ65" s="107"/>
      <c r="BA65" s="108"/>
      <c r="BB65" s="108"/>
      <c r="BC65" s="108"/>
      <c r="BD65" s="108"/>
      <c r="BE65" s="108"/>
      <c r="BF65" s="107">
        <f t="shared" si="2"/>
        <v>0</v>
      </c>
    </row>
    <row r="66" spans="1:58" x14ac:dyDescent="0.2">
      <c r="A66" s="31">
        <f t="shared" si="1"/>
        <v>61</v>
      </c>
      <c r="B66" s="104" t="s">
        <v>386</v>
      </c>
      <c r="C66" s="33">
        <v>45404</v>
      </c>
      <c r="D66" s="107"/>
      <c r="E66" s="107"/>
      <c r="F66" s="107"/>
      <c r="G66" s="107">
        <v>-671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>
        <v>671</v>
      </c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8"/>
      <c r="BB66" s="108"/>
      <c r="BC66" s="108"/>
      <c r="BD66" s="108"/>
      <c r="BE66" s="108"/>
      <c r="BF66" s="107">
        <f t="shared" si="2"/>
        <v>0</v>
      </c>
    </row>
    <row r="67" spans="1:58" x14ac:dyDescent="0.2">
      <c r="A67" s="31">
        <f t="shared" si="1"/>
        <v>62</v>
      </c>
      <c r="B67" s="104" t="s">
        <v>371</v>
      </c>
      <c r="C67" s="33">
        <v>45404</v>
      </c>
      <c r="D67" s="107"/>
      <c r="E67" s="107"/>
      <c r="F67" s="107"/>
      <c r="G67" s="107">
        <v>-256.3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>
        <v>256.3</v>
      </c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8"/>
      <c r="BB67" s="108"/>
      <c r="BC67" s="108"/>
      <c r="BD67" s="108"/>
      <c r="BE67" s="108"/>
      <c r="BF67" s="107">
        <f t="shared" si="2"/>
        <v>0</v>
      </c>
    </row>
    <row r="68" spans="1:58" x14ac:dyDescent="0.2">
      <c r="A68" s="31">
        <f t="shared" si="1"/>
        <v>63</v>
      </c>
      <c r="B68" s="104" t="s">
        <v>418</v>
      </c>
      <c r="C68" s="33">
        <v>45408</v>
      </c>
      <c r="D68" s="107"/>
      <c r="E68" s="107"/>
      <c r="F68" s="107"/>
      <c r="G68" s="107">
        <v>-2380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I68" s="107"/>
      <c r="AJ68" s="107"/>
      <c r="AK68" s="107"/>
      <c r="AL68" s="107">
        <v>2380</v>
      </c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8"/>
      <c r="BB68" s="108"/>
      <c r="BC68" s="108"/>
      <c r="BD68" s="108"/>
      <c r="BE68" s="108"/>
      <c r="BF68" s="107">
        <f t="shared" si="2"/>
        <v>0</v>
      </c>
    </row>
    <row r="69" spans="1:58" x14ac:dyDescent="0.2">
      <c r="A69" s="31">
        <f t="shared" si="1"/>
        <v>64</v>
      </c>
      <c r="B69" s="104" t="s">
        <v>352</v>
      </c>
      <c r="C69" s="33">
        <v>45418</v>
      </c>
      <c r="D69" s="107"/>
      <c r="E69" s="107"/>
      <c r="F69" s="107"/>
      <c r="G69" s="107">
        <v>-92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>
        <v>92</v>
      </c>
      <c r="BA69" s="108"/>
      <c r="BB69" s="108"/>
      <c r="BC69" s="108"/>
      <c r="BD69" s="108"/>
      <c r="BE69" s="108"/>
      <c r="BF69" s="107">
        <f t="shared" ref="BF69:BF100" si="3">SUM(D69:BE69)</f>
        <v>0</v>
      </c>
    </row>
    <row r="70" spans="1:58" x14ac:dyDescent="0.2">
      <c r="A70" s="31">
        <f t="shared" si="1"/>
        <v>65</v>
      </c>
      <c r="B70" s="104" t="s">
        <v>386</v>
      </c>
      <c r="C70" s="33">
        <v>45422</v>
      </c>
      <c r="D70" s="107"/>
      <c r="E70" s="107"/>
      <c r="F70" s="107"/>
      <c r="G70" s="107">
        <v>-327.60000000000002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>
        <v>327.60000000000002</v>
      </c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8"/>
      <c r="BB70" s="108"/>
      <c r="BC70" s="108"/>
      <c r="BD70" s="108"/>
      <c r="BE70" s="108"/>
      <c r="BF70" s="107">
        <f t="shared" si="3"/>
        <v>0</v>
      </c>
    </row>
    <row r="71" spans="1:58" x14ac:dyDescent="0.2">
      <c r="A71" s="31">
        <f t="shared" ref="A71:A134" si="4">A70+1</f>
        <v>66</v>
      </c>
      <c r="B71" s="104" t="s">
        <v>386</v>
      </c>
      <c r="C71" s="33">
        <v>45422</v>
      </c>
      <c r="G71" s="107">
        <v>-270.8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>
        <v>270.8</v>
      </c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8"/>
      <c r="BB71" s="108"/>
      <c r="BC71" s="108"/>
      <c r="BD71" s="108"/>
      <c r="BE71" s="108"/>
      <c r="BF71" s="107">
        <f t="shared" si="3"/>
        <v>0</v>
      </c>
    </row>
    <row r="72" spans="1:58" x14ac:dyDescent="0.2">
      <c r="A72" s="31">
        <f t="shared" si="4"/>
        <v>67</v>
      </c>
      <c r="B72" s="104" t="s">
        <v>395</v>
      </c>
      <c r="C72" s="33">
        <v>45425</v>
      </c>
      <c r="D72" s="107"/>
      <c r="E72" s="107"/>
      <c r="F72" s="107"/>
      <c r="G72" s="107">
        <v>4431.3999999999996</v>
      </c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>
        <v>-4431.3999999999996</v>
      </c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8"/>
      <c r="BB72" s="108"/>
      <c r="BC72" s="108"/>
      <c r="BD72" s="108"/>
      <c r="BE72" s="108"/>
      <c r="BF72" s="107">
        <f t="shared" si="3"/>
        <v>0</v>
      </c>
    </row>
    <row r="73" spans="1:58" x14ac:dyDescent="0.2">
      <c r="A73" s="31">
        <f t="shared" si="4"/>
        <v>68</v>
      </c>
      <c r="B73" s="104" t="s">
        <v>391</v>
      </c>
      <c r="C73" s="33">
        <v>45427</v>
      </c>
      <c r="D73" s="107"/>
      <c r="E73" s="107"/>
      <c r="F73" s="107"/>
      <c r="G73" s="107">
        <v>20000</v>
      </c>
      <c r="H73" s="107">
        <v>-20000</v>
      </c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8"/>
      <c r="BB73" s="108"/>
      <c r="BC73" s="108"/>
      <c r="BD73" s="108"/>
      <c r="BE73" s="108"/>
      <c r="BF73" s="107">
        <f t="shared" si="3"/>
        <v>0</v>
      </c>
    </row>
    <row r="74" spans="1:58" x14ac:dyDescent="0.2">
      <c r="A74" s="31">
        <f t="shared" si="4"/>
        <v>69</v>
      </c>
      <c r="B74" s="232" t="s">
        <v>415</v>
      </c>
      <c r="C74" s="33">
        <v>45427</v>
      </c>
      <c r="D74" s="107"/>
      <c r="E74" s="107"/>
      <c r="F74" s="107"/>
      <c r="G74" s="107">
        <v>-42844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>
        <v>42844</v>
      </c>
      <c r="AS74" s="107"/>
      <c r="AT74" s="107"/>
      <c r="AU74" s="107"/>
      <c r="AV74" s="107"/>
      <c r="AW74" s="107"/>
      <c r="AX74" s="107"/>
      <c r="AY74" s="107"/>
      <c r="AZ74" s="107"/>
      <c r="BA74" s="108"/>
      <c r="BB74" s="108"/>
      <c r="BC74" s="108"/>
      <c r="BD74" s="108"/>
      <c r="BE74" s="108"/>
      <c r="BF74" s="107">
        <f t="shared" si="3"/>
        <v>0</v>
      </c>
    </row>
    <row r="75" spans="1:58" x14ac:dyDescent="0.2">
      <c r="A75" s="31">
        <f t="shared" si="4"/>
        <v>70</v>
      </c>
      <c r="B75" s="104" t="s">
        <v>414</v>
      </c>
      <c r="C75" s="33">
        <v>45427</v>
      </c>
      <c r="D75" s="107"/>
      <c r="E75" s="107"/>
      <c r="F75" s="107"/>
      <c r="G75" s="107">
        <v>-2965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>
        <v>2965</v>
      </c>
      <c r="AU75" s="107"/>
      <c r="AV75" s="107"/>
      <c r="AW75" s="107"/>
      <c r="AX75" s="107"/>
      <c r="AY75" s="107"/>
      <c r="AZ75" s="107"/>
      <c r="BA75" s="108"/>
      <c r="BB75" s="108"/>
      <c r="BC75" s="108"/>
      <c r="BD75" s="108"/>
      <c r="BE75" s="108"/>
      <c r="BF75" s="107">
        <f t="shared" si="3"/>
        <v>0</v>
      </c>
    </row>
    <row r="76" spans="1:58" x14ac:dyDescent="0.2">
      <c r="A76" s="31">
        <f t="shared" si="4"/>
        <v>71</v>
      </c>
      <c r="B76" s="104" t="s">
        <v>390</v>
      </c>
      <c r="C76" s="33">
        <v>45442</v>
      </c>
      <c r="D76" s="107"/>
      <c r="E76" s="107"/>
      <c r="F76" s="107"/>
      <c r="G76" s="107">
        <v>40000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>
        <v>-40000</v>
      </c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8"/>
      <c r="BB76" s="108"/>
      <c r="BC76" s="108"/>
      <c r="BD76" s="108"/>
      <c r="BE76" s="108"/>
      <c r="BF76" s="107">
        <f t="shared" si="3"/>
        <v>0</v>
      </c>
    </row>
    <row r="77" spans="1:58" x14ac:dyDescent="0.2">
      <c r="A77" s="31">
        <f t="shared" si="4"/>
        <v>72</v>
      </c>
      <c r="B77" s="104" t="s">
        <v>396</v>
      </c>
      <c r="C77" s="33">
        <v>45443</v>
      </c>
      <c r="D77" s="107"/>
      <c r="E77" s="107"/>
      <c r="F77" s="107"/>
      <c r="G77" s="107">
        <v>15000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>
        <v>-15000</v>
      </c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8"/>
      <c r="BB77" s="108"/>
      <c r="BC77" s="108"/>
      <c r="BD77" s="108"/>
      <c r="BE77" s="108"/>
      <c r="BF77" s="107">
        <f t="shared" si="3"/>
        <v>0</v>
      </c>
    </row>
    <row r="78" spans="1:58" x14ac:dyDescent="0.2">
      <c r="A78" s="31">
        <f t="shared" si="4"/>
        <v>73</v>
      </c>
      <c r="B78" s="104" t="s">
        <v>352</v>
      </c>
      <c r="C78" s="33">
        <v>45446</v>
      </c>
      <c r="D78" s="107"/>
      <c r="E78" s="107"/>
      <c r="F78" s="107"/>
      <c r="G78" s="107">
        <v>-53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>
        <v>53</v>
      </c>
      <c r="BA78" s="108"/>
      <c r="BB78" s="108"/>
      <c r="BC78" s="108"/>
      <c r="BD78" s="108"/>
      <c r="BE78" s="108"/>
      <c r="BF78" s="107">
        <f t="shared" si="3"/>
        <v>0</v>
      </c>
    </row>
    <row r="79" spans="1:58" x14ac:dyDescent="0.2">
      <c r="A79" s="31">
        <f t="shared" si="4"/>
        <v>74</v>
      </c>
      <c r="B79" s="104" t="s">
        <v>454</v>
      </c>
      <c r="C79" s="33">
        <v>45450</v>
      </c>
      <c r="D79" s="107"/>
      <c r="E79" s="107"/>
      <c r="F79" s="107"/>
      <c r="G79" s="107">
        <v>-3190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>
        <v>3190</v>
      </c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8"/>
      <c r="BB79" s="108"/>
      <c r="BC79" s="108"/>
      <c r="BD79" s="108"/>
      <c r="BE79" s="108"/>
      <c r="BF79" s="107">
        <f t="shared" si="3"/>
        <v>0</v>
      </c>
    </row>
    <row r="80" spans="1:58" x14ac:dyDescent="0.2">
      <c r="A80" s="31">
        <f t="shared" si="4"/>
        <v>75</v>
      </c>
      <c r="B80" s="104" t="s">
        <v>397</v>
      </c>
      <c r="C80" s="33">
        <v>45450</v>
      </c>
      <c r="D80" s="107"/>
      <c r="E80" s="107"/>
      <c r="F80" s="107"/>
      <c r="G80" s="107">
        <v>-2681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>
        <v>2681</v>
      </c>
      <c r="AT80" s="107"/>
      <c r="AU80" s="107"/>
      <c r="AV80" s="107"/>
      <c r="AW80" s="107"/>
      <c r="AX80" s="107"/>
      <c r="AY80" s="107"/>
      <c r="AZ80" s="107"/>
      <c r="BA80" s="108"/>
      <c r="BB80" s="108"/>
      <c r="BC80" s="108"/>
      <c r="BD80" s="108"/>
      <c r="BE80" s="108"/>
      <c r="BF80" s="107">
        <f t="shared" si="3"/>
        <v>0</v>
      </c>
    </row>
    <row r="81" spans="1:58" x14ac:dyDescent="0.2">
      <c r="A81" s="31">
        <f t="shared" si="4"/>
        <v>76</v>
      </c>
      <c r="B81" s="104" t="s">
        <v>398</v>
      </c>
      <c r="C81" s="33">
        <v>45450</v>
      </c>
      <c r="D81" s="107"/>
      <c r="E81" s="107"/>
      <c r="F81" s="107"/>
      <c r="G81" s="107">
        <v>-1381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>
        <v>1381</v>
      </c>
      <c r="AT81" s="107"/>
      <c r="AU81" s="107"/>
      <c r="AV81" s="107"/>
      <c r="AW81" s="107"/>
      <c r="AX81" s="107"/>
      <c r="AY81" s="107"/>
      <c r="AZ81" s="107"/>
      <c r="BA81" s="108"/>
      <c r="BB81" s="108"/>
      <c r="BC81" s="108"/>
      <c r="BD81" s="108"/>
      <c r="BE81" s="108"/>
      <c r="BF81" s="107">
        <f t="shared" si="3"/>
        <v>0</v>
      </c>
    </row>
    <row r="82" spans="1:58" x14ac:dyDescent="0.2">
      <c r="A82" s="31">
        <f t="shared" si="4"/>
        <v>77</v>
      </c>
      <c r="B82" s="104" t="s">
        <v>399</v>
      </c>
      <c r="C82" s="33">
        <v>45455</v>
      </c>
      <c r="D82" s="107"/>
      <c r="E82" s="107"/>
      <c r="F82" s="107"/>
      <c r="G82" s="107">
        <v>1674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8"/>
      <c r="BB82" s="108">
        <v>-1674</v>
      </c>
      <c r="BC82" s="108"/>
      <c r="BD82" s="108"/>
      <c r="BE82" s="108"/>
      <c r="BF82" s="107">
        <f t="shared" si="3"/>
        <v>0</v>
      </c>
    </row>
    <row r="83" spans="1:58" x14ac:dyDescent="0.2">
      <c r="A83" s="31">
        <f t="shared" si="4"/>
        <v>78</v>
      </c>
      <c r="B83" s="104" t="s">
        <v>371</v>
      </c>
      <c r="C83" s="33">
        <v>45457</v>
      </c>
      <c r="D83" s="107"/>
      <c r="E83" s="107"/>
      <c r="F83" s="107"/>
      <c r="G83" s="107">
        <v>-11036</v>
      </c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>
        <v>11036</v>
      </c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8"/>
      <c r="BB83" s="108"/>
      <c r="BC83" s="108"/>
      <c r="BD83" s="108"/>
      <c r="BE83" s="108"/>
      <c r="BF83" s="107">
        <f t="shared" si="3"/>
        <v>0</v>
      </c>
    </row>
    <row r="84" spans="1:58" x14ac:dyDescent="0.2">
      <c r="A84" s="31">
        <f t="shared" si="4"/>
        <v>79</v>
      </c>
      <c r="B84" s="104" t="s">
        <v>391</v>
      </c>
      <c r="C84" s="33">
        <v>45467</v>
      </c>
      <c r="D84" s="107"/>
      <c r="E84" s="107"/>
      <c r="F84" s="107"/>
      <c r="G84" s="107">
        <v>-30000</v>
      </c>
      <c r="H84" s="107">
        <v>30000</v>
      </c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8"/>
      <c r="BB84" s="108"/>
      <c r="BC84" s="108"/>
      <c r="BD84" s="108"/>
      <c r="BE84" s="108"/>
      <c r="BF84" s="107">
        <f t="shared" si="3"/>
        <v>0</v>
      </c>
    </row>
    <row r="85" spans="1:58" x14ac:dyDescent="0.2">
      <c r="A85" s="31">
        <f t="shared" si="4"/>
        <v>80</v>
      </c>
      <c r="B85" s="104" t="s">
        <v>391</v>
      </c>
      <c r="C85" s="33">
        <v>45468</v>
      </c>
      <c r="D85" s="107"/>
      <c r="E85" s="107"/>
      <c r="F85" s="107"/>
      <c r="G85" s="107">
        <v>25000</v>
      </c>
      <c r="H85" s="107">
        <v>-25000</v>
      </c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8"/>
      <c r="BB85" s="108"/>
      <c r="BC85" s="108"/>
      <c r="BD85" s="108"/>
      <c r="BE85" s="108"/>
      <c r="BF85" s="107">
        <f t="shared" si="3"/>
        <v>0</v>
      </c>
    </row>
    <row r="86" spans="1:58" x14ac:dyDescent="0.2">
      <c r="A86" s="31">
        <f t="shared" si="4"/>
        <v>81</v>
      </c>
      <c r="B86" s="104" t="s">
        <v>371</v>
      </c>
      <c r="C86" s="33">
        <v>45468</v>
      </c>
      <c r="D86" s="107"/>
      <c r="E86" s="107"/>
      <c r="F86" s="107"/>
      <c r="G86" s="107">
        <v>-974</v>
      </c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>
        <v>974</v>
      </c>
      <c r="AX86" s="107"/>
      <c r="AY86" s="107"/>
      <c r="AZ86" s="107"/>
      <c r="BA86" s="108"/>
      <c r="BB86" s="108"/>
      <c r="BC86" s="108"/>
      <c r="BD86" s="108"/>
      <c r="BE86" s="108"/>
      <c r="BF86" s="107">
        <f t="shared" si="3"/>
        <v>0</v>
      </c>
    </row>
    <row r="87" spans="1:58" x14ac:dyDescent="0.2">
      <c r="A87" s="31">
        <f t="shared" si="4"/>
        <v>82</v>
      </c>
      <c r="B87" s="104" t="s">
        <v>413</v>
      </c>
      <c r="C87" s="33">
        <v>45469</v>
      </c>
      <c r="D87" s="107"/>
      <c r="E87" s="107"/>
      <c r="F87" s="107"/>
      <c r="G87" s="107">
        <v>-25000</v>
      </c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>
        <v>25000</v>
      </c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8"/>
      <c r="BB87" s="108"/>
      <c r="BC87" s="108"/>
      <c r="BD87" s="108"/>
      <c r="BE87" s="108"/>
      <c r="BF87" s="107">
        <f t="shared" si="3"/>
        <v>0</v>
      </c>
    </row>
    <row r="88" spans="1:58" x14ac:dyDescent="0.2">
      <c r="A88" s="31">
        <f t="shared" si="4"/>
        <v>83</v>
      </c>
      <c r="B88" s="104" t="s">
        <v>377</v>
      </c>
      <c r="C88" s="33">
        <v>45469</v>
      </c>
      <c r="D88" s="107"/>
      <c r="E88" s="107"/>
      <c r="F88" s="107"/>
      <c r="G88" s="107">
        <v>-5000</v>
      </c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>
        <v>5000</v>
      </c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8"/>
      <c r="BB88" s="108"/>
      <c r="BC88" s="108"/>
      <c r="BD88" s="108"/>
      <c r="BE88" s="108"/>
      <c r="BF88" s="107">
        <f t="shared" si="3"/>
        <v>0</v>
      </c>
    </row>
    <row r="89" spans="1:58" x14ac:dyDescent="0.2">
      <c r="A89" s="31">
        <f t="shared" si="4"/>
        <v>84</v>
      </c>
      <c r="B89" s="104" t="s">
        <v>380</v>
      </c>
      <c r="C89" s="33">
        <v>45469</v>
      </c>
      <c r="D89" s="107"/>
      <c r="E89" s="107"/>
      <c r="F89" s="107"/>
      <c r="G89" s="107">
        <v>-5000</v>
      </c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>
        <v>5000</v>
      </c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8"/>
      <c r="BB89" s="108"/>
      <c r="BC89" s="108"/>
      <c r="BD89" s="108"/>
      <c r="BE89" s="108"/>
      <c r="BF89" s="107">
        <f t="shared" si="3"/>
        <v>0</v>
      </c>
    </row>
    <row r="90" spans="1:58" x14ac:dyDescent="0.2">
      <c r="A90" s="31">
        <f t="shared" si="4"/>
        <v>85</v>
      </c>
      <c r="B90" s="104" t="s">
        <v>352</v>
      </c>
      <c r="C90" s="33">
        <v>45481</v>
      </c>
      <c r="D90" s="107"/>
      <c r="E90" s="107"/>
      <c r="F90" s="107"/>
      <c r="G90" s="107">
        <v>-65</v>
      </c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>
        <v>65</v>
      </c>
      <c r="BA90" s="108"/>
      <c r="BB90" s="108"/>
      <c r="BC90" s="108"/>
      <c r="BD90" s="108"/>
      <c r="BE90" s="108"/>
      <c r="BF90" s="107">
        <f t="shared" si="3"/>
        <v>0</v>
      </c>
    </row>
    <row r="91" spans="1:58" x14ac:dyDescent="0.2">
      <c r="A91" s="31">
        <f t="shared" si="4"/>
        <v>86</v>
      </c>
      <c r="B91" s="104" t="s">
        <v>412</v>
      </c>
      <c r="C91" s="33">
        <v>45503</v>
      </c>
      <c r="D91" s="107"/>
      <c r="E91" s="107"/>
      <c r="F91" s="107"/>
      <c r="G91" s="107">
        <v>-2200</v>
      </c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>
        <v>2200</v>
      </c>
      <c r="AV91" s="107"/>
      <c r="AW91" s="107"/>
      <c r="AX91" s="107"/>
      <c r="AY91" s="107"/>
      <c r="AZ91" s="107"/>
      <c r="BA91" s="108"/>
      <c r="BB91" s="108"/>
      <c r="BC91" s="108"/>
      <c r="BD91" s="108"/>
      <c r="BE91" s="108"/>
      <c r="BF91" s="107">
        <f t="shared" si="3"/>
        <v>0</v>
      </c>
    </row>
    <row r="92" spans="1:58" x14ac:dyDescent="0.2">
      <c r="A92" s="31">
        <f t="shared" si="4"/>
        <v>87</v>
      </c>
      <c r="B92" s="104" t="s">
        <v>352</v>
      </c>
      <c r="C92" s="33">
        <v>45509</v>
      </c>
      <c r="D92" s="107"/>
      <c r="E92" s="107"/>
      <c r="F92" s="107"/>
      <c r="G92" s="107">
        <v>-39.5</v>
      </c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>
        <v>39.5</v>
      </c>
      <c r="BA92" s="108"/>
      <c r="BB92" s="108"/>
      <c r="BC92" s="108"/>
      <c r="BD92" s="108"/>
      <c r="BE92" s="108"/>
      <c r="BF92" s="107">
        <f t="shared" si="3"/>
        <v>0</v>
      </c>
    </row>
    <row r="93" spans="1:58" x14ac:dyDescent="0.2">
      <c r="A93" s="31">
        <f t="shared" si="4"/>
        <v>88</v>
      </c>
      <c r="B93" s="104" t="s">
        <v>391</v>
      </c>
      <c r="C93" s="33">
        <v>45533</v>
      </c>
      <c r="D93" s="107"/>
      <c r="E93" s="107"/>
      <c r="F93" s="107"/>
      <c r="G93" s="107">
        <v>20000</v>
      </c>
      <c r="H93" s="107">
        <v>-20000</v>
      </c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8"/>
      <c r="BB93" s="108"/>
      <c r="BC93" s="108"/>
      <c r="BD93" s="108"/>
      <c r="BE93" s="108"/>
      <c r="BF93" s="107">
        <f t="shared" si="3"/>
        <v>0</v>
      </c>
    </row>
    <row r="94" spans="1:58" x14ac:dyDescent="0.2">
      <c r="A94" s="31">
        <f t="shared" si="4"/>
        <v>89</v>
      </c>
      <c r="B94" s="104" t="s">
        <v>390</v>
      </c>
      <c r="C94" s="33">
        <v>45534</v>
      </c>
      <c r="D94" s="107"/>
      <c r="E94" s="107"/>
      <c r="F94" s="107"/>
      <c r="G94" s="107">
        <v>-16709.32</v>
      </c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>
        <v>16709.32</v>
      </c>
      <c r="AP94" s="107"/>
      <c r="AQ94" s="107"/>
      <c r="AR94" s="107"/>
      <c r="AT94" s="107"/>
      <c r="AU94" s="107"/>
      <c r="AV94" s="107"/>
      <c r="AW94" s="107"/>
      <c r="AX94" s="107"/>
      <c r="AY94" s="107"/>
      <c r="AZ94" s="107"/>
      <c r="BA94" s="108"/>
      <c r="BB94" s="108"/>
      <c r="BC94" s="108"/>
      <c r="BD94" s="108"/>
      <c r="BE94" s="108"/>
      <c r="BF94" s="107">
        <f t="shared" si="3"/>
        <v>0</v>
      </c>
    </row>
    <row r="95" spans="1:58" x14ac:dyDescent="0.2">
      <c r="A95" s="72">
        <f t="shared" si="4"/>
        <v>90</v>
      </c>
      <c r="B95" s="104" t="s">
        <v>352</v>
      </c>
      <c r="C95" s="33">
        <v>45544</v>
      </c>
      <c r="D95" s="107"/>
      <c r="E95" s="107"/>
      <c r="F95" s="107"/>
      <c r="G95" s="107">
        <v>-35</v>
      </c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>
        <v>35</v>
      </c>
      <c r="BA95" s="108"/>
      <c r="BB95" s="108"/>
      <c r="BC95" s="108"/>
      <c r="BD95" s="108"/>
      <c r="BE95" s="108"/>
      <c r="BF95" s="107">
        <f t="shared" si="3"/>
        <v>0</v>
      </c>
    </row>
    <row r="96" spans="1:58" x14ac:dyDescent="0.2">
      <c r="A96" s="72">
        <f t="shared" si="4"/>
        <v>91</v>
      </c>
      <c r="B96" s="104" t="s">
        <v>395</v>
      </c>
      <c r="C96" s="33">
        <v>45546</v>
      </c>
      <c r="D96" s="107"/>
      <c r="E96" s="107"/>
      <c r="F96" s="107"/>
      <c r="G96" s="107">
        <v>4735.28</v>
      </c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>
        <v>-4735.28</v>
      </c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8"/>
      <c r="BB96" s="108"/>
      <c r="BC96" s="108"/>
      <c r="BD96" s="108"/>
      <c r="BE96" s="108"/>
      <c r="BF96" s="107">
        <f t="shared" si="3"/>
        <v>0</v>
      </c>
    </row>
    <row r="97" spans="1:58" x14ac:dyDescent="0.2">
      <c r="A97" s="72">
        <f t="shared" si="4"/>
        <v>92</v>
      </c>
      <c r="B97" s="104" t="s">
        <v>423</v>
      </c>
      <c r="C97" s="33">
        <v>45552</v>
      </c>
      <c r="D97" s="107"/>
      <c r="E97" s="107"/>
      <c r="F97" s="107"/>
      <c r="G97" s="107">
        <v>10000</v>
      </c>
      <c r="H97" s="107">
        <v>-10000</v>
      </c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8"/>
      <c r="BB97" s="108"/>
      <c r="BC97" s="108"/>
      <c r="BD97" s="108"/>
      <c r="BE97" s="108"/>
      <c r="BF97" s="107">
        <f t="shared" si="3"/>
        <v>0</v>
      </c>
    </row>
    <row r="98" spans="1:58" x14ac:dyDescent="0.2">
      <c r="A98" s="72">
        <f t="shared" si="4"/>
        <v>93</v>
      </c>
      <c r="B98" s="104" t="s">
        <v>424</v>
      </c>
      <c r="C98" s="33">
        <v>45553</v>
      </c>
      <c r="D98" s="107"/>
      <c r="E98" s="107"/>
      <c r="F98" s="107"/>
      <c r="G98" s="107">
        <v>-7000</v>
      </c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>
        <v>7000</v>
      </c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8"/>
      <c r="BB98" s="108"/>
      <c r="BC98" s="108"/>
      <c r="BD98" s="108"/>
      <c r="BE98" s="108"/>
      <c r="BF98" s="107">
        <f t="shared" si="3"/>
        <v>0</v>
      </c>
    </row>
    <row r="99" spans="1:58" x14ac:dyDescent="0.2">
      <c r="A99" s="72">
        <f t="shared" si="4"/>
        <v>94</v>
      </c>
      <c r="B99" s="104" t="s">
        <v>379</v>
      </c>
      <c r="C99" s="33">
        <v>45553</v>
      </c>
      <c r="D99" s="107"/>
      <c r="E99" s="107"/>
      <c r="F99" s="107"/>
      <c r="G99" s="107">
        <v>-3200</v>
      </c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>
        <v>3200</v>
      </c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8"/>
      <c r="BB99" s="108"/>
      <c r="BC99" s="108"/>
      <c r="BD99" s="108"/>
      <c r="BE99" s="108"/>
      <c r="BF99" s="107">
        <f t="shared" si="3"/>
        <v>0</v>
      </c>
    </row>
    <row r="100" spans="1:58" x14ac:dyDescent="0.2">
      <c r="A100" s="72">
        <f t="shared" si="4"/>
        <v>95</v>
      </c>
      <c r="B100" s="104" t="s">
        <v>371</v>
      </c>
      <c r="C100" s="33">
        <v>45553</v>
      </c>
      <c r="D100" s="107"/>
      <c r="E100" s="107"/>
      <c r="F100" s="107"/>
      <c r="G100" s="107">
        <v>-1186</v>
      </c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>
        <v>1186</v>
      </c>
      <c r="AX100" s="107"/>
      <c r="AY100" s="107"/>
      <c r="AZ100" s="107"/>
      <c r="BA100" s="108"/>
      <c r="BB100" s="108"/>
      <c r="BC100" s="108"/>
      <c r="BD100" s="108"/>
      <c r="BE100" s="108"/>
      <c r="BF100" s="107">
        <f t="shared" si="3"/>
        <v>0</v>
      </c>
    </row>
    <row r="101" spans="1:58" x14ac:dyDescent="0.2">
      <c r="A101" s="72">
        <f t="shared" si="4"/>
        <v>96</v>
      </c>
      <c r="B101" s="104" t="s">
        <v>386</v>
      </c>
      <c r="C101" s="33">
        <v>45553</v>
      </c>
      <c r="D101" s="107"/>
      <c r="E101" s="107"/>
      <c r="F101" s="107"/>
      <c r="G101" s="107">
        <v>-266</v>
      </c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>
        <v>266</v>
      </c>
      <c r="AX101" s="107"/>
      <c r="AY101" s="107"/>
      <c r="AZ101" s="107"/>
      <c r="BA101" s="108"/>
      <c r="BB101" s="108"/>
      <c r="BC101" s="108"/>
      <c r="BD101" s="108"/>
      <c r="BE101" s="108"/>
      <c r="BF101" s="107">
        <f t="shared" ref="BF101:BF151" si="5">SUM(D101:BE101)</f>
        <v>0</v>
      </c>
    </row>
    <row r="102" spans="1:58" x14ac:dyDescent="0.2">
      <c r="A102" s="72">
        <f t="shared" si="4"/>
        <v>97</v>
      </c>
      <c r="B102" s="104" t="s">
        <v>371</v>
      </c>
      <c r="C102" s="33">
        <v>45553</v>
      </c>
      <c r="D102" s="107"/>
      <c r="E102" s="107"/>
      <c r="F102" s="107"/>
      <c r="G102" s="107">
        <v>-142</v>
      </c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>
        <v>142</v>
      </c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8"/>
      <c r="BB102" s="108"/>
      <c r="BC102" s="108"/>
      <c r="BD102" s="108"/>
      <c r="BE102" s="108"/>
      <c r="BF102" s="107">
        <f t="shared" si="5"/>
        <v>0</v>
      </c>
    </row>
    <row r="103" spans="1:58" x14ac:dyDescent="0.2">
      <c r="A103" s="72">
        <f t="shared" si="4"/>
        <v>98</v>
      </c>
      <c r="B103" s="104" t="s">
        <v>455</v>
      </c>
      <c r="C103" s="33">
        <v>45554</v>
      </c>
      <c r="D103" s="107"/>
      <c r="E103" s="107"/>
      <c r="F103" s="107"/>
      <c r="G103" s="107">
        <v>-2562.0100000000002</v>
      </c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>
        <v>2562.0100000000002</v>
      </c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8"/>
      <c r="BB103" s="108"/>
      <c r="BC103" s="108"/>
      <c r="BD103" s="108"/>
      <c r="BE103" s="108"/>
      <c r="BF103" s="107">
        <f t="shared" si="5"/>
        <v>0</v>
      </c>
    </row>
    <row r="104" spans="1:58" x14ac:dyDescent="0.2">
      <c r="A104" s="72">
        <f t="shared" si="4"/>
        <v>99</v>
      </c>
      <c r="B104" s="104" t="s">
        <v>435</v>
      </c>
      <c r="C104" s="33">
        <v>45559</v>
      </c>
      <c r="D104" s="107"/>
      <c r="E104" s="107"/>
      <c r="F104" s="107"/>
      <c r="G104" s="107">
        <v>-2766</v>
      </c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>
        <v>2766</v>
      </c>
      <c r="AO104" s="107"/>
      <c r="AP104" s="107"/>
      <c r="AQ104" s="107"/>
      <c r="AS104" s="107"/>
      <c r="AT104" s="107"/>
      <c r="AU104" s="107"/>
      <c r="AV104" s="107"/>
      <c r="AW104" s="107"/>
      <c r="AX104" s="107"/>
      <c r="AY104" s="107"/>
      <c r="AZ104" s="107"/>
      <c r="BA104" s="108"/>
      <c r="BB104" s="108"/>
      <c r="BC104" s="108"/>
      <c r="BD104" s="108"/>
      <c r="BE104" s="108"/>
      <c r="BF104" s="107">
        <f t="shared" si="5"/>
        <v>0</v>
      </c>
    </row>
    <row r="105" spans="1:58" x14ac:dyDescent="0.2">
      <c r="A105" s="72">
        <f t="shared" si="4"/>
        <v>100</v>
      </c>
      <c r="B105" s="104" t="s">
        <v>436</v>
      </c>
      <c r="C105" s="33">
        <v>45559</v>
      </c>
      <c r="D105" s="107"/>
      <c r="E105" s="107"/>
      <c r="F105" s="107"/>
      <c r="G105" s="107">
        <v>-2766</v>
      </c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>
        <v>2766</v>
      </c>
      <c r="AO105" s="107"/>
      <c r="AP105" s="107"/>
      <c r="AQ105" s="107"/>
      <c r="AS105" s="107"/>
      <c r="AT105" s="107"/>
      <c r="AU105" s="107"/>
      <c r="AV105" s="107"/>
      <c r="AW105" s="107"/>
      <c r="AX105" s="107"/>
      <c r="AY105" s="107"/>
      <c r="AZ105" s="107"/>
      <c r="BA105" s="108"/>
      <c r="BB105" s="108"/>
      <c r="BC105" s="108"/>
      <c r="BD105" s="108"/>
      <c r="BE105" s="108"/>
      <c r="BF105" s="107">
        <f t="shared" si="5"/>
        <v>0</v>
      </c>
    </row>
    <row r="106" spans="1:58" x14ac:dyDescent="0.2">
      <c r="A106" s="72">
        <f t="shared" si="4"/>
        <v>101</v>
      </c>
      <c r="B106" s="104" t="s">
        <v>441</v>
      </c>
      <c r="C106" s="33">
        <v>45561</v>
      </c>
      <c r="D106" s="107"/>
      <c r="E106" s="107"/>
      <c r="F106" s="107"/>
      <c r="G106" s="107"/>
      <c r="H106" s="107"/>
      <c r="I106" s="107">
        <v>-13413.37</v>
      </c>
      <c r="J106" s="107"/>
      <c r="K106" s="107"/>
      <c r="L106" s="107"/>
      <c r="M106" s="107">
        <f>13413.38-0.01</f>
        <v>13413.369999999999</v>
      </c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8"/>
      <c r="BB106" s="108"/>
      <c r="BC106" s="108"/>
      <c r="BD106" s="108"/>
      <c r="BE106" s="108"/>
      <c r="BF106" s="107">
        <f t="shared" si="5"/>
        <v>0</v>
      </c>
    </row>
    <row r="107" spans="1:58" x14ac:dyDescent="0.2">
      <c r="A107" s="72">
        <f t="shared" si="4"/>
        <v>102</v>
      </c>
      <c r="B107" s="104" t="s">
        <v>431</v>
      </c>
      <c r="C107" s="33">
        <v>45573</v>
      </c>
      <c r="D107" s="107"/>
      <c r="E107" s="107"/>
      <c r="F107" s="107"/>
      <c r="G107" s="107">
        <v>49.12</v>
      </c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>
        <v>-50</v>
      </c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>
        <v>0.88</v>
      </c>
      <c r="BA107" s="108"/>
      <c r="BB107" s="108"/>
      <c r="BC107" s="108"/>
      <c r="BD107" s="108"/>
      <c r="BE107" s="108"/>
      <c r="BF107" s="107">
        <f t="shared" si="5"/>
        <v>-2.55351295663786E-15</v>
      </c>
    </row>
    <row r="108" spans="1:58" x14ac:dyDescent="0.2">
      <c r="A108" s="72">
        <f t="shared" si="4"/>
        <v>103</v>
      </c>
      <c r="B108" s="104" t="s">
        <v>431</v>
      </c>
      <c r="C108" s="33">
        <v>45576</v>
      </c>
      <c r="D108" s="107"/>
      <c r="E108" s="107"/>
      <c r="F108" s="107"/>
      <c r="G108" s="107">
        <v>343.87</v>
      </c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>
        <v>-350</v>
      </c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>
        <v>6.13</v>
      </c>
      <c r="BA108" s="108"/>
      <c r="BB108" s="108"/>
      <c r="BC108" s="108"/>
      <c r="BD108" s="108"/>
      <c r="BE108" s="108"/>
      <c r="BF108" s="107">
        <f t="shared" si="5"/>
        <v>0</v>
      </c>
    </row>
    <row r="109" spans="1:58" x14ac:dyDescent="0.2">
      <c r="A109" s="72">
        <f t="shared" si="4"/>
        <v>104</v>
      </c>
      <c r="B109" s="104" t="s">
        <v>391</v>
      </c>
      <c r="C109" s="33">
        <v>45576</v>
      </c>
      <c r="D109" s="107"/>
      <c r="E109" s="107"/>
      <c r="F109" s="107"/>
      <c r="G109" s="107">
        <v>60000</v>
      </c>
      <c r="H109" s="107">
        <v>-60000</v>
      </c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8"/>
      <c r="BB109" s="108"/>
      <c r="BC109" s="108"/>
      <c r="BD109" s="108"/>
      <c r="BE109" s="108"/>
      <c r="BF109" s="107">
        <f t="shared" si="5"/>
        <v>0</v>
      </c>
    </row>
    <row r="110" spans="1:58" x14ac:dyDescent="0.2">
      <c r="A110" s="72">
        <f t="shared" si="4"/>
        <v>105</v>
      </c>
      <c r="B110" s="104" t="s">
        <v>371</v>
      </c>
      <c r="C110" s="33">
        <v>45581</v>
      </c>
      <c r="D110" s="107"/>
      <c r="E110" s="107"/>
      <c r="F110" s="107"/>
      <c r="G110" s="107">
        <v>-3580</v>
      </c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>
        <v>3580</v>
      </c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8"/>
      <c r="BB110" s="108"/>
      <c r="BC110" s="108"/>
      <c r="BD110" s="108"/>
      <c r="BE110" s="108"/>
      <c r="BF110" s="107">
        <f t="shared" si="5"/>
        <v>0</v>
      </c>
    </row>
    <row r="111" spans="1:58" x14ac:dyDescent="0.2">
      <c r="A111" s="72">
        <f t="shared" si="4"/>
        <v>106</v>
      </c>
      <c r="B111" s="104" t="s">
        <v>371</v>
      </c>
      <c r="C111" s="33">
        <v>45581</v>
      </c>
      <c r="D111" s="107"/>
      <c r="E111" s="107"/>
      <c r="F111" s="107"/>
      <c r="G111" s="107">
        <v>-1190</v>
      </c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>
        <v>1190</v>
      </c>
      <c r="AX111" s="107"/>
      <c r="AY111" s="107"/>
      <c r="AZ111" s="107"/>
      <c r="BA111" s="108"/>
      <c r="BB111" s="108"/>
      <c r="BC111" s="108"/>
      <c r="BD111" s="108"/>
      <c r="BE111" s="108"/>
      <c r="BF111" s="107">
        <f t="shared" si="5"/>
        <v>0</v>
      </c>
    </row>
    <row r="112" spans="1:58" x14ac:dyDescent="0.2">
      <c r="A112" s="72">
        <f t="shared" si="4"/>
        <v>107</v>
      </c>
      <c r="B112" s="104" t="s">
        <v>371</v>
      </c>
      <c r="C112" s="33">
        <v>45581</v>
      </c>
      <c r="D112" s="107"/>
      <c r="E112" s="107"/>
      <c r="F112" s="107"/>
      <c r="G112" s="107">
        <v>-352</v>
      </c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>
        <v>352</v>
      </c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8"/>
      <c r="BB112" s="108"/>
      <c r="BC112" s="108"/>
      <c r="BD112" s="108"/>
      <c r="BE112" s="108"/>
      <c r="BF112" s="107">
        <f t="shared" si="5"/>
        <v>0</v>
      </c>
    </row>
    <row r="113" spans="1:58" x14ac:dyDescent="0.2">
      <c r="A113" s="72">
        <f t="shared" si="4"/>
        <v>108</v>
      </c>
      <c r="B113" s="104" t="s">
        <v>352</v>
      </c>
      <c r="C113" s="33">
        <v>45586</v>
      </c>
      <c r="D113" s="107"/>
      <c r="E113" s="107"/>
      <c r="F113" s="107"/>
      <c r="G113" s="107">
        <v>-77</v>
      </c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>
        <v>77</v>
      </c>
      <c r="BA113" s="108"/>
      <c r="BB113" s="108"/>
      <c r="BC113" s="108"/>
      <c r="BD113" s="108"/>
      <c r="BE113" s="108"/>
      <c r="BF113" s="107">
        <f t="shared" si="5"/>
        <v>0</v>
      </c>
    </row>
    <row r="114" spans="1:58" x14ac:dyDescent="0.2">
      <c r="A114" s="72">
        <f t="shared" si="4"/>
        <v>109</v>
      </c>
      <c r="B114" s="104" t="s">
        <v>431</v>
      </c>
      <c r="C114" s="33">
        <v>45587</v>
      </c>
      <c r="D114" s="107"/>
      <c r="E114" s="107"/>
      <c r="F114" s="107"/>
      <c r="G114" s="107">
        <v>49.12</v>
      </c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>
        <v>-50</v>
      </c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>
        <v>0.88</v>
      </c>
      <c r="BA114" s="108"/>
      <c r="BB114" s="108"/>
      <c r="BC114" s="108"/>
      <c r="BD114" s="108"/>
      <c r="BE114" s="108"/>
      <c r="BF114" s="107">
        <f t="shared" si="5"/>
        <v>-2.55351295663786E-15</v>
      </c>
    </row>
    <row r="115" spans="1:58" x14ac:dyDescent="0.2">
      <c r="A115" s="72">
        <f t="shared" si="4"/>
        <v>110</v>
      </c>
      <c r="B115" s="104" t="s">
        <v>432</v>
      </c>
      <c r="C115" s="33">
        <v>45587</v>
      </c>
      <c r="D115" s="107"/>
      <c r="E115" s="107"/>
      <c r="F115" s="107"/>
      <c r="G115" s="107">
        <v>-31140</v>
      </c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>
        <v>31140</v>
      </c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8"/>
      <c r="BB115" s="108"/>
      <c r="BC115" s="108"/>
      <c r="BD115" s="108"/>
      <c r="BE115" s="108"/>
      <c r="BF115" s="107">
        <f t="shared" si="5"/>
        <v>0</v>
      </c>
    </row>
    <row r="116" spans="1:58" x14ac:dyDescent="0.2">
      <c r="A116" s="72">
        <f t="shared" si="4"/>
        <v>111</v>
      </c>
      <c r="B116" s="104" t="s">
        <v>433</v>
      </c>
      <c r="C116" s="33">
        <v>45587</v>
      </c>
      <c r="D116" s="107"/>
      <c r="E116" s="107"/>
      <c r="F116" s="107"/>
      <c r="G116" s="107">
        <v>-1963.5</v>
      </c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>
        <v>1963.5</v>
      </c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8"/>
      <c r="BB116" s="108"/>
      <c r="BC116" s="108"/>
      <c r="BD116" s="108"/>
      <c r="BE116" s="108"/>
      <c r="BF116" s="107">
        <f t="shared" si="5"/>
        <v>0</v>
      </c>
    </row>
    <row r="117" spans="1:58" x14ac:dyDescent="0.2">
      <c r="A117" s="72">
        <f t="shared" si="4"/>
        <v>112</v>
      </c>
      <c r="B117" s="104" t="s">
        <v>434</v>
      </c>
      <c r="C117" s="33">
        <v>45589</v>
      </c>
      <c r="D117" s="107"/>
      <c r="E117" s="107"/>
      <c r="F117" s="107"/>
      <c r="G117" s="107">
        <v>6400</v>
      </c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>
        <v>-6400</v>
      </c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8"/>
      <c r="BB117" s="108"/>
      <c r="BC117" s="108"/>
      <c r="BD117" s="108"/>
      <c r="BE117" s="108"/>
      <c r="BF117" s="107">
        <f t="shared" si="5"/>
        <v>0</v>
      </c>
    </row>
    <row r="118" spans="1:58" x14ac:dyDescent="0.2">
      <c r="A118" s="72">
        <f t="shared" si="4"/>
        <v>113</v>
      </c>
      <c r="B118" s="104" t="s">
        <v>438</v>
      </c>
      <c r="C118" s="33">
        <v>45600</v>
      </c>
      <c r="D118" s="107"/>
      <c r="E118" s="107"/>
      <c r="F118" s="107"/>
      <c r="G118" s="107">
        <v>-25058</v>
      </c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>
        <v>25058</v>
      </c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8"/>
      <c r="BB118" s="108"/>
      <c r="BC118" s="108"/>
      <c r="BD118" s="108"/>
      <c r="BE118" s="108"/>
      <c r="BF118" s="107">
        <f t="shared" si="5"/>
        <v>0</v>
      </c>
    </row>
    <row r="119" spans="1:58" x14ac:dyDescent="0.2">
      <c r="A119" s="72">
        <f t="shared" si="4"/>
        <v>114</v>
      </c>
      <c r="B119" s="104" t="s">
        <v>352</v>
      </c>
      <c r="C119" s="33">
        <v>45600</v>
      </c>
      <c r="D119" s="107"/>
      <c r="E119" s="107"/>
      <c r="F119" s="107"/>
      <c r="G119" s="107">
        <v>-19.5</v>
      </c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>
        <v>19.5</v>
      </c>
      <c r="BA119" s="108"/>
      <c r="BB119" s="108"/>
      <c r="BC119" s="108"/>
      <c r="BD119" s="108"/>
      <c r="BE119" s="108"/>
      <c r="BF119" s="107">
        <f t="shared" si="5"/>
        <v>0</v>
      </c>
    </row>
    <row r="120" spans="1:58" x14ac:dyDescent="0.2">
      <c r="A120" s="72">
        <f t="shared" si="4"/>
        <v>115</v>
      </c>
      <c r="B120" s="104" t="s">
        <v>439</v>
      </c>
      <c r="C120" s="33">
        <v>45615</v>
      </c>
      <c r="D120" s="107"/>
      <c r="E120" s="107"/>
      <c r="F120" s="107"/>
      <c r="G120" s="107">
        <v>116</v>
      </c>
      <c r="H120" s="107"/>
      <c r="I120" s="107"/>
      <c r="J120" s="107"/>
      <c r="K120" s="107"/>
      <c r="L120" s="107"/>
      <c r="M120" s="107"/>
      <c r="N120" s="107"/>
      <c r="O120" s="107">
        <v>-116</v>
      </c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8"/>
      <c r="BB120" s="108"/>
      <c r="BC120" s="108"/>
      <c r="BD120" s="108"/>
      <c r="BE120" s="108"/>
      <c r="BF120" s="107">
        <f t="shared" si="5"/>
        <v>0</v>
      </c>
    </row>
    <row r="121" spans="1:58" x14ac:dyDescent="0.2">
      <c r="A121" s="72">
        <f t="shared" si="4"/>
        <v>116</v>
      </c>
      <c r="B121" s="104" t="s">
        <v>440</v>
      </c>
      <c r="C121" s="33">
        <v>45615</v>
      </c>
      <c r="D121" s="107"/>
      <c r="E121" s="107"/>
      <c r="F121" s="107"/>
      <c r="G121" s="107">
        <v>5000</v>
      </c>
      <c r="H121" s="107">
        <v>-5000</v>
      </c>
      <c r="I121" s="107"/>
      <c r="J121" s="107"/>
      <c r="K121" s="107"/>
      <c r="L121" s="107"/>
      <c r="M121" s="107"/>
      <c r="N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8"/>
      <c r="BB121" s="108"/>
      <c r="BC121" s="108"/>
      <c r="BD121" s="108"/>
      <c r="BE121" s="108"/>
      <c r="BF121" s="107">
        <f t="shared" si="5"/>
        <v>0</v>
      </c>
    </row>
    <row r="122" spans="1:58" x14ac:dyDescent="0.2">
      <c r="A122" s="72">
        <f t="shared" si="4"/>
        <v>117</v>
      </c>
      <c r="B122" s="104" t="s">
        <v>431</v>
      </c>
      <c r="C122" s="33">
        <v>45616</v>
      </c>
      <c r="D122" s="107"/>
      <c r="E122" s="107"/>
      <c r="F122" s="107"/>
      <c r="G122" s="107">
        <v>685.78</v>
      </c>
      <c r="H122" s="107"/>
      <c r="I122" s="107"/>
      <c r="J122" s="107"/>
      <c r="K122" s="107"/>
      <c r="L122" s="107"/>
      <c r="M122" s="107"/>
      <c r="N122" s="107"/>
      <c r="O122" s="107">
        <v>-700</v>
      </c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>
        <v>14.22</v>
      </c>
      <c r="BA122" s="108"/>
      <c r="BB122" s="108"/>
      <c r="BC122" s="108"/>
      <c r="BD122" s="108"/>
      <c r="BE122" s="108"/>
      <c r="BF122" s="107">
        <f t="shared" si="5"/>
        <v>-2.6645352591003757E-14</v>
      </c>
    </row>
    <row r="123" spans="1:58" x14ac:dyDescent="0.2">
      <c r="A123" s="72">
        <f t="shared" si="4"/>
        <v>118</v>
      </c>
      <c r="B123" s="104" t="s">
        <v>371</v>
      </c>
      <c r="C123" s="33">
        <v>45630</v>
      </c>
      <c r="D123" s="107"/>
      <c r="E123" s="107"/>
      <c r="F123" s="107"/>
      <c r="G123" s="107">
        <v>-6251</v>
      </c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>
        <v>6251</v>
      </c>
      <c r="AU123" s="107"/>
      <c r="AV123" s="107"/>
      <c r="AW123" s="107"/>
      <c r="AX123" s="107"/>
      <c r="AY123" s="107"/>
      <c r="AZ123" s="107"/>
      <c r="BA123" s="108"/>
      <c r="BB123" s="108"/>
      <c r="BC123" s="108"/>
      <c r="BD123" s="108"/>
      <c r="BE123" s="108"/>
      <c r="BF123" s="107">
        <f t="shared" si="5"/>
        <v>0</v>
      </c>
    </row>
    <row r="124" spans="1:58" x14ac:dyDescent="0.2">
      <c r="A124" s="72">
        <f t="shared" si="4"/>
        <v>119</v>
      </c>
      <c r="B124" s="104" t="s">
        <v>371</v>
      </c>
      <c r="C124" s="33">
        <v>45630</v>
      </c>
      <c r="D124" s="107"/>
      <c r="E124" s="107"/>
      <c r="F124" s="107"/>
      <c r="G124" s="107">
        <v>-295.2</v>
      </c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>
        <v>295.2</v>
      </c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8"/>
      <c r="BB124" s="108"/>
      <c r="BC124" s="108"/>
      <c r="BD124" s="108"/>
      <c r="BE124" s="108"/>
      <c r="BF124" s="107">
        <f t="shared" si="5"/>
        <v>0</v>
      </c>
    </row>
    <row r="125" spans="1:58" x14ac:dyDescent="0.2">
      <c r="A125" s="72">
        <f t="shared" si="4"/>
        <v>120</v>
      </c>
      <c r="B125" s="104" t="s">
        <v>352</v>
      </c>
      <c r="C125" s="33">
        <v>45635</v>
      </c>
      <c r="D125" s="107"/>
      <c r="E125" s="107"/>
      <c r="F125" s="107"/>
      <c r="G125" s="107">
        <v>-1.75</v>
      </c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>
        <v>1.75</v>
      </c>
      <c r="BA125" s="108"/>
      <c r="BB125" s="108"/>
      <c r="BC125" s="108"/>
      <c r="BD125" s="108"/>
      <c r="BE125" s="108"/>
      <c r="BF125" s="107">
        <f t="shared" si="5"/>
        <v>0</v>
      </c>
    </row>
    <row r="126" spans="1:58" x14ac:dyDescent="0.2">
      <c r="A126" s="72">
        <f t="shared" si="4"/>
        <v>121</v>
      </c>
      <c r="B126" s="104" t="s">
        <v>391</v>
      </c>
      <c r="C126" s="33">
        <v>45639</v>
      </c>
      <c r="D126" s="107"/>
      <c r="E126" s="107"/>
      <c r="F126" s="107"/>
      <c r="G126" s="107">
        <v>30000</v>
      </c>
      <c r="H126" s="107">
        <v>-30000</v>
      </c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8"/>
      <c r="BB126" s="108"/>
      <c r="BC126" s="108"/>
      <c r="BD126" s="108"/>
      <c r="BE126" s="108"/>
      <c r="BF126" s="107">
        <f t="shared" si="5"/>
        <v>0</v>
      </c>
    </row>
    <row r="127" spans="1:58" x14ac:dyDescent="0.2">
      <c r="A127" s="72">
        <f t="shared" si="4"/>
        <v>122</v>
      </c>
      <c r="B127" s="104" t="s">
        <v>371</v>
      </c>
      <c r="C127" s="33">
        <v>45642</v>
      </c>
      <c r="D127" s="107"/>
      <c r="E127" s="107"/>
      <c r="F127" s="107"/>
      <c r="G127" s="107">
        <v>-5400</v>
      </c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>
        <v>5400</v>
      </c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8"/>
      <c r="BB127" s="108"/>
      <c r="BC127" s="108"/>
      <c r="BD127" s="108"/>
      <c r="BE127" s="108"/>
      <c r="BF127" s="107">
        <f t="shared" si="5"/>
        <v>0</v>
      </c>
    </row>
    <row r="128" spans="1:58" x14ac:dyDescent="0.2">
      <c r="A128" s="72">
        <f t="shared" si="4"/>
        <v>123</v>
      </c>
      <c r="B128" s="104" t="s">
        <v>376</v>
      </c>
      <c r="C128" s="33">
        <v>45642</v>
      </c>
      <c r="D128" s="107"/>
      <c r="E128" s="107"/>
      <c r="F128" s="107"/>
      <c r="G128" s="107">
        <v>-3200</v>
      </c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>
        <v>3200</v>
      </c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8"/>
      <c r="BB128" s="108"/>
      <c r="BC128" s="108"/>
      <c r="BD128" s="108"/>
      <c r="BE128" s="108"/>
      <c r="BF128" s="107">
        <f t="shared" si="5"/>
        <v>0</v>
      </c>
    </row>
    <row r="129" spans="1:58" x14ac:dyDescent="0.2">
      <c r="A129" s="72">
        <f t="shared" si="4"/>
        <v>124</v>
      </c>
      <c r="B129" s="104" t="s">
        <v>378</v>
      </c>
      <c r="C129" s="33">
        <v>45642</v>
      </c>
      <c r="D129" s="107"/>
      <c r="E129" s="107"/>
      <c r="F129" s="107"/>
      <c r="G129" s="107">
        <v>-2700</v>
      </c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>
        <v>2700</v>
      </c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8"/>
      <c r="BB129" s="108"/>
      <c r="BC129" s="108"/>
      <c r="BD129" s="108"/>
      <c r="BE129" s="108"/>
      <c r="BF129" s="107">
        <f t="shared" si="5"/>
        <v>0</v>
      </c>
    </row>
    <row r="130" spans="1:58" x14ac:dyDescent="0.2">
      <c r="A130" s="72">
        <f t="shared" si="4"/>
        <v>125</v>
      </c>
      <c r="B130" s="104" t="s">
        <v>377</v>
      </c>
      <c r="C130" s="33">
        <v>45642</v>
      </c>
      <c r="D130" s="107"/>
      <c r="E130" s="107"/>
      <c r="F130" s="107"/>
      <c r="G130" s="107">
        <v>-2700</v>
      </c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>
        <v>2700</v>
      </c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8"/>
      <c r="BB130" s="108"/>
      <c r="BC130" s="108"/>
      <c r="BD130" s="108"/>
      <c r="BE130" s="108"/>
      <c r="BF130" s="107">
        <f t="shared" si="5"/>
        <v>0</v>
      </c>
    </row>
    <row r="131" spans="1:58" x14ac:dyDescent="0.2">
      <c r="A131" s="72">
        <f t="shared" si="4"/>
        <v>126</v>
      </c>
      <c r="B131" s="104" t="s">
        <v>379</v>
      </c>
      <c r="C131" s="33">
        <v>45642</v>
      </c>
      <c r="D131" s="107"/>
      <c r="E131" s="107"/>
      <c r="F131" s="107"/>
      <c r="G131" s="107">
        <v>-2400</v>
      </c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>
        <v>2400</v>
      </c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8"/>
      <c r="BB131" s="108"/>
      <c r="BC131" s="108"/>
      <c r="BD131" s="108"/>
      <c r="BE131" s="108"/>
      <c r="BF131" s="107">
        <f t="shared" si="5"/>
        <v>0</v>
      </c>
    </row>
    <row r="132" spans="1:58" x14ac:dyDescent="0.2">
      <c r="A132" s="72">
        <f t="shared" si="4"/>
        <v>127</v>
      </c>
      <c r="B132" s="104" t="s">
        <v>371</v>
      </c>
      <c r="C132" s="33">
        <v>45642</v>
      </c>
      <c r="D132" s="107"/>
      <c r="E132" s="107"/>
      <c r="F132" s="107"/>
      <c r="G132" s="107">
        <v>-1260</v>
      </c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>
        <v>1260</v>
      </c>
      <c r="AX132" s="107"/>
      <c r="AY132" s="107"/>
      <c r="AZ132" s="107"/>
      <c r="BA132" s="108"/>
      <c r="BB132" s="108"/>
      <c r="BC132" s="108"/>
      <c r="BD132" s="108"/>
      <c r="BE132" s="108"/>
      <c r="BF132" s="107">
        <f t="shared" si="5"/>
        <v>0</v>
      </c>
    </row>
    <row r="133" spans="1:58" x14ac:dyDescent="0.2">
      <c r="A133" s="72">
        <f t="shared" si="4"/>
        <v>128</v>
      </c>
      <c r="B133" s="104" t="s">
        <v>371</v>
      </c>
      <c r="C133" s="33">
        <v>45642</v>
      </c>
      <c r="D133" s="107"/>
      <c r="E133" s="107"/>
      <c r="F133" s="107"/>
      <c r="G133" s="107">
        <v>-621.29999999999995</v>
      </c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>
        <v>621.29999999999995</v>
      </c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8"/>
      <c r="BB133" s="108"/>
      <c r="BC133" s="108"/>
      <c r="BD133" s="108"/>
      <c r="BE133" s="108"/>
      <c r="BF133" s="107">
        <f t="shared" si="5"/>
        <v>0</v>
      </c>
    </row>
    <row r="134" spans="1:58" x14ac:dyDescent="0.2">
      <c r="A134" s="72">
        <f t="shared" si="4"/>
        <v>129</v>
      </c>
      <c r="B134" s="104" t="s">
        <v>366</v>
      </c>
      <c r="C134" s="33">
        <v>45642</v>
      </c>
      <c r="D134" s="107"/>
      <c r="E134" s="107"/>
      <c r="F134" s="107"/>
      <c r="G134" s="107">
        <v>-300</v>
      </c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>
        <v>300</v>
      </c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8"/>
      <c r="BB134" s="108"/>
      <c r="BC134" s="108"/>
      <c r="BD134" s="108"/>
      <c r="BE134" s="108"/>
      <c r="BF134" s="107">
        <f t="shared" si="5"/>
        <v>0</v>
      </c>
    </row>
    <row r="135" spans="1:58" x14ac:dyDescent="0.2">
      <c r="A135" s="72">
        <f t="shared" ref="A135:A150" si="6">A134+1</f>
        <v>130</v>
      </c>
      <c r="B135" s="104" t="s">
        <v>384</v>
      </c>
      <c r="C135" s="33">
        <v>45645</v>
      </c>
      <c r="D135" s="107"/>
      <c r="E135" s="107"/>
      <c r="F135" s="107"/>
      <c r="G135" s="107">
        <v>200</v>
      </c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>
        <v>-200</v>
      </c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8"/>
      <c r="BB135" s="108"/>
      <c r="BC135" s="108"/>
      <c r="BD135" s="108"/>
      <c r="BE135" s="108"/>
      <c r="BF135" s="107">
        <f t="shared" si="5"/>
        <v>0</v>
      </c>
    </row>
    <row r="136" spans="1:58" x14ac:dyDescent="0.2">
      <c r="A136" s="72">
        <f t="shared" si="6"/>
        <v>131</v>
      </c>
      <c r="B136" s="104" t="s">
        <v>442</v>
      </c>
      <c r="C136" s="33">
        <v>45645</v>
      </c>
      <c r="D136" s="107"/>
      <c r="E136" s="107"/>
      <c r="F136" s="107"/>
      <c r="G136" s="107">
        <v>-10752.5</v>
      </c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>
        <v>10752.5</v>
      </c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8"/>
      <c r="BB136" s="108"/>
      <c r="BC136" s="108"/>
      <c r="BD136" s="108"/>
      <c r="BE136" s="108"/>
      <c r="BF136" s="107">
        <f t="shared" si="5"/>
        <v>0</v>
      </c>
    </row>
    <row r="137" spans="1:58" x14ac:dyDescent="0.2">
      <c r="A137" s="72">
        <f t="shared" si="6"/>
        <v>132</v>
      </c>
      <c r="B137" s="104" t="s">
        <v>383</v>
      </c>
      <c r="C137" s="33">
        <v>45646</v>
      </c>
      <c r="D137" s="107"/>
      <c r="E137" s="107"/>
      <c r="F137" s="107"/>
      <c r="G137" s="107">
        <v>350</v>
      </c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>
        <v>-350</v>
      </c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8"/>
      <c r="BB137" s="108"/>
      <c r="BC137" s="108"/>
      <c r="BD137" s="108"/>
      <c r="BE137" s="108"/>
      <c r="BF137" s="107">
        <f t="shared" si="5"/>
        <v>0</v>
      </c>
    </row>
    <row r="138" spans="1:58" x14ac:dyDescent="0.2">
      <c r="A138" s="72">
        <f t="shared" si="6"/>
        <v>133</v>
      </c>
      <c r="B138" s="104" t="s">
        <v>390</v>
      </c>
      <c r="C138" s="33">
        <v>45646</v>
      </c>
      <c r="D138" s="107"/>
      <c r="E138" s="107"/>
      <c r="F138" s="107"/>
      <c r="G138" s="107">
        <v>15743</v>
      </c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>
        <v>-15743</v>
      </c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8"/>
      <c r="BB138" s="108"/>
      <c r="BC138" s="108"/>
      <c r="BD138" s="108"/>
      <c r="BE138" s="108"/>
      <c r="BF138" s="107">
        <f t="shared" si="5"/>
        <v>0</v>
      </c>
    </row>
    <row r="139" spans="1:58" x14ac:dyDescent="0.2">
      <c r="A139" s="72">
        <f t="shared" si="6"/>
        <v>134</v>
      </c>
      <c r="B139" s="104" t="s">
        <v>443</v>
      </c>
      <c r="C139" s="33">
        <v>45647</v>
      </c>
      <c r="D139" s="107"/>
      <c r="E139" s="107"/>
      <c r="F139" s="107"/>
      <c r="G139" s="107">
        <v>150</v>
      </c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>
        <v>-150</v>
      </c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8"/>
      <c r="BB139" s="108"/>
      <c r="BC139" s="108"/>
      <c r="BD139" s="108"/>
      <c r="BE139" s="108"/>
      <c r="BF139" s="107">
        <f t="shared" si="5"/>
        <v>0</v>
      </c>
    </row>
    <row r="140" spans="1:58" x14ac:dyDescent="0.2">
      <c r="A140" s="72">
        <f t="shared" si="6"/>
        <v>135</v>
      </c>
      <c r="B140" s="104" t="s">
        <v>388</v>
      </c>
      <c r="C140" s="33">
        <v>45652</v>
      </c>
      <c r="D140" s="107"/>
      <c r="E140" s="107"/>
      <c r="F140" s="107"/>
      <c r="G140" s="107">
        <v>500</v>
      </c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>
        <v>-500</v>
      </c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8"/>
      <c r="BB140" s="108"/>
      <c r="BC140" s="108"/>
      <c r="BD140" s="108"/>
      <c r="BE140" s="108"/>
      <c r="BF140" s="107">
        <f t="shared" si="5"/>
        <v>0</v>
      </c>
    </row>
    <row r="141" spans="1:58" x14ac:dyDescent="0.2">
      <c r="A141" s="72">
        <f t="shared" si="6"/>
        <v>136</v>
      </c>
      <c r="B141" s="104" t="s">
        <v>391</v>
      </c>
      <c r="C141" s="33">
        <v>45653</v>
      </c>
      <c r="D141" s="107"/>
      <c r="E141" s="107"/>
      <c r="F141" s="107"/>
      <c r="G141" s="107">
        <v>15000</v>
      </c>
      <c r="H141" s="107">
        <v>-15000</v>
      </c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8"/>
      <c r="BB141" s="108"/>
      <c r="BC141" s="108"/>
      <c r="BD141" s="108"/>
      <c r="BE141" s="108"/>
      <c r="BF141" s="107">
        <f t="shared" si="5"/>
        <v>0</v>
      </c>
    </row>
    <row r="142" spans="1:58" x14ac:dyDescent="0.2">
      <c r="A142" s="72">
        <f t="shared" si="6"/>
        <v>137</v>
      </c>
      <c r="B142" s="104" t="s">
        <v>390</v>
      </c>
      <c r="C142" s="33">
        <v>46748</v>
      </c>
      <c r="D142" s="107"/>
      <c r="E142" s="107"/>
      <c r="F142" s="107"/>
      <c r="G142" s="107">
        <v>-10046.049999999999</v>
      </c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>
        <v>10046.049999999999</v>
      </c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8"/>
      <c r="BB142" s="108"/>
      <c r="BC142" s="108"/>
      <c r="BD142" s="108"/>
      <c r="BE142" s="108"/>
      <c r="BF142" s="107">
        <f t="shared" si="5"/>
        <v>0</v>
      </c>
    </row>
    <row r="143" spans="1:58" x14ac:dyDescent="0.2">
      <c r="A143" s="72">
        <f t="shared" si="6"/>
        <v>138</v>
      </c>
      <c r="B143" s="104" t="s">
        <v>444</v>
      </c>
      <c r="C143" s="33">
        <v>45656</v>
      </c>
      <c r="D143" s="107"/>
      <c r="E143" s="107"/>
      <c r="F143" s="107"/>
      <c r="G143" s="107">
        <v>400</v>
      </c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>
        <v>-400</v>
      </c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8"/>
      <c r="BB143" s="108"/>
      <c r="BC143" s="108"/>
      <c r="BD143" s="108"/>
      <c r="BE143" s="108"/>
      <c r="BF143" s="107">
        <f t="shared" si="5"/>
        <v>0</v>
      </c>
    </row>
    <row r="144" spans="1:58" x14ac:dyDescent="0.2">
      <c r="A144" s="72">
        <f t="shared" si="6"/>
        <v>139</v>
      </c>
      <c r="B144" s="104" t="s">
        <v>363</v>
      </c>
      <c r="C144" s="33">
        <v>45657</v>
      </c>
      <c r="D144" s="107"/>
      <c r="E144" s="107"/>
      <c r="F144" s="107"/>
      <c r="G144" s="107">
        <v>100</v>
      </c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>
        <v>-100</v>
      </c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8"/>
      <c r="BB144" s="108"/>
      <c r="BC144" s="108"/>
      <c r="BD144" s="108"/>
      <c r="BE144" s="108"/>
      <c r="BF144" s="107">
        <f t="shared" si="5"/>
        <v>0</v>
      </c>
    </row>
    <row r="145" spans="1:59" x14ac:dyDescent="0.2">
      <c r="A145" s="72">
        <f t="shared" si="6"/>
        <v>140</v>
      </c>
      <c r="B145" s="104" t="s">
        <v>445</v>
      </c>
      <c r="C145" s="33">
        <v>45657</v>
      </c>
      <c r="D145" s="107"/>
      <c r="E145" s="107"/>
      <c r="F145" s="107"/>
      <c r="G145" s="107">
        <v>400</v>
      </c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>
        <v>-400</v>
      </c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8"/>
      <c r="BB145" s="108"/>
      <c r="BC145" s="108"/>
      <c r="BD145" s="108"/>
      <c r="BE145" s="108"/>
      <c r="BF145" s="107">
        <f t="shared" si="5"/>
        <v>0</v>
      </c>
    </row>
    <row r="146" spans="1:59" x14ac:dyDescent="0.2">
      <c r="A146" s="72">
        <f t="shared" si="6"/>
        <v>141</v>
      </c>
      <c r="B146" s="104" t="s">
        <v>392</v>
      </c>
      <c r="C146" s="33">
        <v>45657</v>
      </c>
      <c r="D146" s="107"/>
      <c r="E146" s="107"/>
      <c r="F146" s="107"/>
      <c r="G146" s="107">
        <v>450</v>
      </c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>
        <v>-450</v>
      </c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8"/>
      <c r="BB146" s="108"/>
      <c r="BC146" s="108"/>
      <c r="BD146" s="108"/>
      <c r="BE146" s="108"/>
      <c r="BF146" s="107">
        <f t="shared" si="5"/>
        <v>0</v>
      </c>
    </row>
    <row r="147" spans="1:59" x14ac:dyDescent="0.2">
      <c r="A147" s="72">
        <f t="shared" si="6"/>
        <v>142</v>
      </c>
      <c r="B147" s="104" t="s">
        <v>446</v>
      </c>
      <c r="C147" s="33">
        <v>45657</v>
      </c>
      <c r="D147" s="107"/>
      <c r="E147" s="107"/>
      <c r="F147" s="107"/>
      <c r="G147" s="107">
        <v>20</v>
      </c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8">
        <v>-20</v>
      </c>
      <c r="BB147" s="108"/>
      <c r="BC147" s="108"/>
      <c r="BD147" s="108"/>
      <c r="BE147" s="108"/>
      <c r="BF147" s="107">
        <f t="shared" si="5"/>
        <v>0</v>
      </c>
    </row>
    <row r="148" spans="1:59" x14ac:dyDescent="0.2">
      <c r="A148" s="72">
        <f t="shared" si="6"/>
        <v>143</v>
      </c>
      <c r="B148" s="104" t="s">
        <v>446</v>
      </c>
      <c r="C148" s="33">
        <v>45657</v>
      </c>
      <c r="D148" s="107"/>
      <c r="E148" s="107"/>
      <c r="F148" s="107"/>
      <c r="G148" s="107"/>
      <c r="H148" s="107">
        <v>96660</v>
      </c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107"/>
      <c r="AV148" s="107"/>
      <c r="AW148" s="107"/>
      <c r="AX148" s="107"/>
      <c r="AY148" s="107"/>
      <c r="AZ148" s="107"/>
      <c r="BA148" s="108">
        <v>-96660</v>
      </c>
      <c r="BB148" s="108"/>
      <c r="BC148" s="108"/>
      <c r="BD148" s="108"/>
      <c r="BE148" s="108"/>
      <c r="BF148" s="107">
        <f t="shared" si="5"/>
        <v>0</v>
      </c>
    </row>
    <row r="149" spans="1:59" x14ac:dyDescent="0.2">
      <c r="A149" s="72">
        <f t="shared" si="6"/>
        <v>144</v>
      </c>
      <c r="B149" s="104" t="s">
        <v>446</v>
      </c>
      <c r="C149" s="33">
        <v>45657</v>
      </c>
      <c r="D149" s="107"/>
      <c r="E149" s="107"/>
      <c r="F149" s="107"/>
      <c r="G149" s="107"/>
      <c r="H149" s="107"/>
      <c r="I149" s="107">
        <v>350</v>
      </c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107"/>
      <c r="AV149" s="107"/>
      <c r="AW149" s="107"/>
      <c r="AX149" s="107"/>
      <c r="AY149" s="107"/>
      <c r="AZ149" s="107"/>
      <c r="BA149" s="108">
        <v>-350</v>
      </c>
      <c r="BB149" s="108"/>
      <c r="BC149" s="108"/>
      <c r="BD149" s="108"/>
      <c r="BE149" s="108"/>
      <c r="BF149" s="107">
        <f t="shared" si="5"/>
        <v>0</v>
      </c>
    </row>
    <row r="150" spans="1:59" x14ac:dyDescent="0.2">
      <c r="A150" s="72">
        <f t="shared" si="6"/>
        <v>145</v>
      </c>
      <c r="B150" s="104" t="s">
        <v>447</v>
      </c>
      <c r="C150" s="33">
        <v>45657</v>
      </c>
      <c r="D150" s="107"/>
      <c r="E150" s="107">
        <v>10420</v>
      </c>
      <c r="F150" s="107"/>
      <c r="G150" s="107"/>
      <c r="H150" s="107"/>
      <c r="I150" s="107"/>
      <c r="J150" s="107"/>
      <c r="K150" s="107"/>
      <c r="L150" s="107"/>
      <c r="M150" s="107"/>
      <c r="N150" s="107">
        <v>-10420</v>
      </c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  <c r="AM150" s="107"/>
      <c r="AN150" s="107"/>
      <c r="AO150" s="107"/>
      <c r="AP150" s="107"/>
      <c r="AQ150" s="107"/>
      <c r="AR150" s="107"/>
      <c r="AS150" s="107"/>
      <c r="AT150" s="107"/>
      <c r="AU150" s="107"/>
      <c r="AV150" s="107"/>
      <c r="AW150" s="107"/>
      <c r="AX150" s="107"/>
      <c r="AY150" s="107"/>
      <c r="AZ150" s="107"/>
      <c r="BA150" s="108"/>
      <c r="BB150" s="108"/>
      <c r="BC150" s="108"/>
      <c r="BD150" s="108"/>
      <c r="BE150" s="108"/>
      <c r="BF150" s="107">
        <f t="shared" si="5"/>
        <v>0</v>
      </c>
    </row>
    <row r="151" spans="1:59" x14ac:dyDescent="0.2">
      <c r="B151" s="104" t="s">
        <v>144</v>
      </c>
      <c r="C151" s="104"/>
      <c r="D151" s="107"/>
      <c r="E151" s="107"/>
      <c r="F151" s="107"/>
      <c r="G151" s="107"/>
      <c r="I151" s="107"/>
      <c r="J151" s="107">
        <f>BE151*-1</f>
        <v>-2849658.48</v>
      </c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  <c r="AM151" s="107"/>
      <c r="AN151" s="107"/>
      <c r="AO151" s="107"/>
      <c r="AP151" s="107"/>
      <c r="AQ151" s="107"/>
      <c r="AR151" s="107"/>
      <c r="AS151" s="107"/>
      <c r="AT151" s="107"/>
      <c r="AU151" s="107"/>
      <c r="AV151" s="107"/>
      <c r="AW151" s="107"/>
      <c r="AX151" s="107"/>
      <c r="AY151" s="107"/>
      <c r="AZ151" s="107"/>
      <c r="BA151" s="108"/>
      <c r="BB151" s="108"/>
      <c r="BC151" s="108"/>
      <c r="BD151" s="108"/>
      <c r="BE151" s="108">
        <f>C157*-1</f>
        <v>2849658.48</v>
      </c>
      <c r="BF151" s="107">
        <f t="shared" si="5"/>
        <v>0</v>
      </c>
    </row>
    <row r="152" spans="1:59" ht="13.5" thickBot="1" x14ac:dyDescent="0.25">
      <c r="B152" s="106" t="s">
        <v>56</v>
      </c>
      <c r="C152" s="106"/>
      <c r="D152" s="110">
        <f t="shared" ref="D152:X152" si="7">SUM(D4:D151)</f>
        <v>0</v>
      </c>
      <c r="E152" s="110">
        <f t="shared" si="7"/>
        <v>14120</v>
      </c>
      <c r="F152" s="110">
        <f t="shared" si="7"/>
        <v>789</v>
      </c>
      <c r="G152" s="110">
        <f t="shared" si="7"/>
        <v>26671.019999999804</v>
      </c>
      <c r="H152" s="110">
        <f t="shared" si="7"/>
        <v>3406711</v>
      </c>
      <c r="I152" s="110">
        <f t="shared" si="7"/>
        <v>350</v>
      </c>
      <c r="J152" s="110">
        <f t="shared" si="7"/>
        <v>-3448641.02</v>
      </c>
      <c r="K152" s="110">
        <f t="shared" si="7"/>
        <v>0</v>
      </c>
      <c r="L152" s="110">
        <f t="shared" si="7"/>
        <v>0</v>
      </c>
      <c r="M152" s="110">
        <f t="shared" si="7"/>
        <v>0</v>
      </c>
      <c r="N152" s="110">
        <f t="shared" si="7"/>
        <v>-10420</v>
      </c>
      <c r="O152" s="110">
        <f t="shared" si="7"/>
        <v>-816</v>
      </c>
      <c r="P152" s="110">
        <f t="shared" si="7"/>
        <v>0</v>
      </c>
      <c r="Q152" s="110">
        <f t="shared" si="7"/>
        <v>0</v>
      </c>
      <c r="R152" s="110">
        <f t="shared" si="7"/>
        <v>0</v>
      </c>
      <c r="S152" s="110">
        <f t="shared" si="7"/>
        <v>-6400</v>
      </c>
      <c r="T152" s="110">
        <f t="shared" si="7"/>
        <v>0</v>
      </c>
      <c r="U152" s="110">
        <f t="shared" si="7"/>
        <v>-5800</v>
      </c>
      <c r="V152" s="110">
        <f t="shared" si="7"/>
        <v>0</v>
      </c>
      <c r="W152" s="110">
        <f t="shared" si="7"/>
        <v>-40000</v>
      </c>
      <c r="X152" s="110">
        <f t="shared" si="7"/>
        <v>-15294.91</v>
      </c>
      <c r="Y152" s="110">
        <f>SUM(Y6:Y151)</f>
        <v>-15743</v>
      </c>
      <c r="Z152" s="110">
        <f>SUM(Z6:Z151)</f>
        <v>-15000</v>
      </c>
      <c r="AA152" s="110">
        <f t="shared" ref="AA152:BF152" si="8">SUM(AA4:AA151)</f>
        <v>-2858717.73</v>
      </c>
      <c r="AB152" s="110">
        <f t="shared" si="8"/>
        <v>0</v>
      </c>
      <c r="AC152" s="110">
        <f t="shared" si="8"/>
        <v>0</v>
      </c>
      <c r="AD152" s="110">
        <f t="shared" si="8"/>
        <v>16700</v>
      </c>
      <c r="AE152" s="110">
        <f t="shared" si="8"/>
        <v>0</v>
      </c>
      <c r="AF152" s="110">
        <f t="shared" si="8"/>
        <v>13900.940000000002</v>
      </c>
      <c r="AG152" s="110">
        <f t="shared" si="8"/>
        <v>0</v>
      </c>
      <c r="AH152" s="110">
        <f t="shared" si="8"/>
        <v>17947.3</v>
      </c>
      <c r="AI152" s="110">
        <f t="shared" si="8"/>
        <v>0</v>
      </c>
      <c r="AJ152" s="110">
        <f t="shared" si="8"/>
        <v>0</v>
      </c>
      <c r="AK152" s="110">
        <f t="shared" si="8"/>
        <v>0</v>
      </c>
      <c r="AL152" s="110">
        <f t="shared" si="8"/>
        <v>-41776</v>
      </c>
      <c r="AM152" s="110">
        <f t="shared" si="8"/>
        <v>0</v>
      </c>
      <c r="AN152" s="110">
        <f t="shared" si="8"/>
        <v>16568</v>
      </c>
      <c r="AO152" s="110">
        <f t="shared" si="8"/>
        <v>59356.539999999994</v>
      </c>
      <c r="AP152" s="110">
        <f t="shared" si="8"/>
        <v>58161.5</v>
      </c>
      <c r="AQ152" s="110">
        <f t="shared" si="8"/>
        <v>0</v>
      </c>
      <c r="AR152" s="110">
        <f t="shared" si="8"/>
        <v>42844</v>
      </c>
      <c r="AS152" s="110">
        <f t="shared" si="8"/>
        <v>4062</v>
      </c>
      <c r="AT152" s="110">
        <f t="shared" si="8"/>
        <v>9216</v>
      </c>
      <c r="AU152" s="110">
        <f t="shared" si="8"/>
        <v>2200</v>
      </c>
      <c r="AV152" s="110">
        <f t="shared" si="8"/>
        <v>0</v>
      </c>
      <c r="AW152" s="110">
        <f t="shared" si="8"/>
        <v>7987</v>
      </c>
      <c r="AX152" s="110">
        <f t="shared" si="8"/>
        <v>9427.5199999999986</v>
      </c>
      <c r="AY152" s="110">
        <f t="shared" si="8"/>
        <v>0</v>
      </c>
      <c r="AZ152" s="110">
        <f t="shared" si="8"/>
        <v>642.36</v>
      </c>
      <c r="BA152" s="110">
        <f t="shared" si="8"/>
        <v>-97030</v>
      </c>
      <c r="BB152" s="110">
        <f t="shared" si="8"/>
        <v>-1674</v>
      </c>
      <c r="BC152" s="110">
        <f t="shared" si="8"/>
        <v>0</v>
      </c>
      <c r="BD152" s="110">
        <f t="shared" si="8"/>
        <v>0</v>
      </c>
      <c r="BE152" s="110">
        <f t="shared" si="8"/>
        <v>2849658.48</v>
      </c>
      <c r="BF152" s="110">
        <f t="shared" si="8"/>
        <v>-3.1752378504279477E-14</v>
      </c>
      <c r="BG152" s="29"/>
    </row>
    <row r="153" spans="1:59" x14ac:dyDescent="0.2">
      <c r="H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F153" s="107"/>
    </row>
    <row r="154" spans="1:59" x14ac:dyDescent="0.2">
      <c r="H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F154" s="107"/>
    </row>
    <row r="155" spans="1:59" x14ac:dyDescent="0.2">
      <c r="A155" s="9"/>
      <c r="B155" s="9" t="s">
        <v>69</v>
      </c>
      <c r="C155" s="30">
        <f>SUM(N152:AB152)+BA152+BB152</f>
        <v>-3066895.64</v>
      </c>
      <c r="D155" s="103"/>
      <c r="E155" s="30"/>
      <c r="F155" s="30"/>
      <c r="G155" s="30"/>
      <c r="H155" s="30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F155" s="107"/>
    </row>
    <row r="156" spans="1:59" x14ac:dyDescent="0.2">
      <c r="A156" s="9"/>
      <c r="B156" s="9" t="s">
        <v>70</v>
      </c>
      <c r="C156" s="30">
        <f>SUM(AC152:AZ152)+BC152+BD152</f>
        <v>217237.15999999997</v>
      </c>
      <c r="D156" s="30"/>
      <c r="E156" s="30"/>
      <c r="F156" s="30"/>
      <c r="G156" s="30"/>
      <c r="H156" s="30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F156" s="107"/>
    </row>
    <row r="157" spans="1:59" ht="13.5" thickBot="1" x14ac:dyDescent="0.25">
      <c r="A157" s="37"/>
      <c r="B157" s="196" t="s">
        <v>71</v>
      </c>
      <c r="C157" s="197">
        <f>SUM(C155:C156)</f>
        <v>-2849658.48</v>
      </c>
      <c r="D157" s="30"/>
      <c r="E157" s="30"/>
      <c r="F157" s="30"/>
      <c r="G157" s="30"/>
      <c r="H157" s="30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F157" s="107"/>
    </row>
    <row r="158" spans="1:59" x14ac:dyDescent="0.2">
      <c r="B158" s="224" t="s">
        <v>362</v>
      </c>
      <c r="C158" s="30">
        <f>Aktivitetsregnskap!C99</f>
        <v>2849658.48</v>
      </c>
      <c r="H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F158" s="107"/>
    </row>
    <row r="159" spans="1:59" x14ac:dyDescent="0.2">
      <c r="C159" s="30"/>
      <c r="H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F159" s="107"/>
    </row>
    <row r="160" spans="1:59" x14ac:dyDescent="0.2">
      <c r="H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F160" s="107"/>
    </row>
    <row r="161" spans="8:58" x14ac:dyDescent="0.2">
      <c r="H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F161" s="107"/>
    </row>
    <row r="162" spans="8:58" x14ac:dyDescent="0.2">
      <c r="H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</row>
    <row r="163" spans="8:58" x14ac:dyDescent="0.2">
      <c r="H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</row>
    <row r="164" spans="8:58" x14ac:dyDescent="0.2">
      <c r="H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</row>
    <row r="165" spans="8:58" x14ac:dyDescent="0.2">
      <c r="H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</row>
    <row r="166" spans="8:58" x14ac:dyDescent="0.2">
      <c r="H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</row>
    <row r="167" spans="8:58" x14ac:dyDescent="0.2">
      <c r="H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</row>
    <row r="168" spans="8:58" x14ac:dyDescent="0.2">
      <c r="H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</row>
    <row r="169" spans="8:58" x14ac:dyDescent="0.2">
      <c r="H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</row>
    <row r="170" spans="8:58" x14ac:dyDescent="0.2">
      <c r="H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</row>
    <row r="171" spans="8:58" x14ac:dyDescent="0.2">
      <c r="H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</row>
    <row r="172" spans="8:58" x14ac:dyDescent="0.2">
      <c r="H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</row>
    <row r="173" spans="8:58" x14ac:dyDescent="0.2">
      <c r="H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</row>
    <row r="174" spans="8:58" x14ac:dyDescent="0.2">
      <c r="H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</row>
    <row r="175" spans="8:58" x14ac:dyDescent="0.2">
      <c r="H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</row>
    <row r="176" spans="8:58" x14ac:dyDescent="0.2">
      <c r="H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</row>
    <row r="177" spans="8:52" x14ac:dyDescent="0.2">
      <c r="H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</row>
    <row r="178" spans="8:52" x14ac:dyDescent="0.2">
      <c r="H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</row>
    <row r="179" spans="8:52" x14ac:dyDescent="0.2">
      <c r="H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</row>
    <row r="180" spans="8:52" x14ac:dyDescent="0.2">
      <c r="H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</row>
    <row r="181" spans="8:52" x14ac:dyDescent="0.2">
      <c r="H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</row>
    <row r="182" spans="8:52" x14ac:dyDescent="0.2">
      <c r="H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</row>
    <row r="183" spans="8:52" x14ac:dyDescent="0.2">
      <c r="H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</row>
    <row r="184" spans="8:52" x14ac:dyDescent="0.2">
      <c r="H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</row>
    <row r="185" spans="8:52" x14ac:dyDescent="0.2">
      <c r="H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</row>
    <row r="186" spans="8:52" x14ac:dyDescent="0.2">
      <c r="H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</row>
    <row r="187" spans="8:52" x14ac:dyDescent="0.2">
      <c r="H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</row>
    <row r="188" spans="8:52" x14ac:dyDescent="0.2">
      <c r="H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</row>
    <row r="189" spans="8:52" x14ac:dyDescent="0.2">
      <c r="H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</row>
    <row r="190" spans="8:52" x14ac:dyDescent="0.2">
      <c r="H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</row>
    <row r="191" spans="8:52" x14ac:dyDescent="0.2">
      <c r="H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</row>
    <row r="192" spans="8:52" x14ac:dyDescent="0.2">
      <c r="H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</row>
    <row r="193" spans="8:52" x14ac:dyDescent="0.2">
      <c r="H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</row>
    <row r="194" spans="8:52" x14ac:dyDescent="0.2">
      <c r="H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</row>
    <row r="195" spans="8:52" x14ac:dyDescent="0.2">
      <c r="H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</row>
    <row r="196" spans="8:52" x14ac:dyDescent="0.2">
      <c r="H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</row>
    <row r="197" spans="8:52" x14ac:dyDescent="0.2">
      <c r="H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</row>
    <row r="198" spans="8:52" x14ac:dyDescent="0.2">
      <c r="H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</row>
    <row r="199" spans="8:52" x14ac:dyDescent="0.2">
      <c r="H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</row>
    <row r="200" spans="8:52" x14ac:dyDescent="0.2">
      <c r="H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</row>
    <row r="201" spans="8:52" x14ac:dyDescent="0.2">
      <c r="H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</row>
    <row r="202" spans="8:52" x14ac:dyDescent="0.2">
      <c r="H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</row>
    <row r="203" spans="8:52" x14ac:dyDescent="0.2">
      <c r="H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</row>
    <row r="204" spans="8:52" x14ac:dyDescent="0.2">
      <c r="H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</row>
    <row r="205" spans="8:52" x14ac:dyDescent="0.2">
      <c r="H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</row>
    <row r="206" spans="8:52" x14ac:dyDescent="0.2">
      <c r="H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</row>
    <row r="207" spans="8:52" x14ac:dyDescent="0.2">
      <c r="H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</row>
    <row r="208" spans="8:52" x14ac:dyDescent="0.2">
      <c r="H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</row>
    <row r="209" spans="8:52" x14ac:dyDescent="0.2">
      <c r="H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</row>
  </sheetData>
  <autoFilter ref="A4:BG152" xr:uid="{00000000-0009-0000-0000-000005000000}"/>
  <printOptions gridLines="1"/>
  <pageMargins left="0.19685039370078741" right="0.11811023622047245" top="0.78740157480314965" bottom="0.78740157480314965" header="0.31496062992125984" footer="0.31496062992125984"/>
  <pageSetup paperSize="8" scale="28" orientation="landscape" r:id="rId1"/>
  <headerFooter>
    <oddHeader>&amp;LCP-foreningen avd. Hordaland, Sogn og Fjordane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workbookViewId="0">
      <selection activeCell="A13" sqref="A13"/>
    </sheetView>
  </sheetViews>
  <sheetFormatPr baseColWidth="10" defaultRowHeight="15" x14ac:dyDescent="0.25"/>
  <cols>
    <col min="1" max="1" width="23.85546875" bestFit="1" customWidth="1"/>
    <col min="2" max="2" width="8.5703125" style="1" bestFit="1" customWidth="1"/>
    <col min="3" max="3" width="24.85546875" bestFit="1" customWidth="1"/>
    <col min="4" max="4" width="22.140625" bestFit="1" customWidth="1"/>
    <col min="5" max="5" width="36.42578125" bestFit="1" customWidth="1"/>
  </cols>
  <sheetData>
    <row r="1" spans="1:5" x14ac:dyDescent="0.25">
      <c r="A1" s="257" t="s">
        <v>458</v>
      </c>
      <c r="B1" s="257" t="s">
        <v>459</v>
      </c>
      <c r="C1" s="257" t="s">
        <v>150</v>
      </c>
      <c r="D1" s="259" t="s">
        <v>460</v>
      </c>
      <c r="E1" s="257" t="s">
        <v>461</v>
      </c>
    </row>
    <row r="2" spans="1:5" x14ac:dyDescent="0.25">
      <c r="A2" s="257" t="s">
        <v>462</v>
      </c>
      <c r="B2" s="257">
        <v>6347</v>
      </c>
      <c r="C2" s="257" t="s">
        <v>289</v>
      </c>
      <c r="D2" s="259">
        <v>90737337</v>
      </c>
      <c r="E2" s="257" t="s">
        <v>463</v>
      </c>
    </row>
    <row r="3" spans="1:5" x14ac:dyDescent="0.25">
      <c r="A3" s="257" t="s">
        <v>464</v>
      </c>
      <c r="B3" s="257">
        <v>6347</v>
      </c>
      <c r="C3" s="257" t="s">
        <v>289</v>
      </c>
      <c r="D3" s="259">
        <v>90737337</v>
      </c>
      <c r="E3" s="257" t="s">
        <v>463</v>
      </c>
    </row>
    <row r="4" spans="1:5" x14ac:dyDescent="0.25">
      <c r="A4" s="257" t="s">
        <v>465</v>
      </c>
      <c r="B4" s="257">
        <v>6350</v>
      </c>
      <c r="C4" s="257" t="s">
        <v>466</v>
      </c>
      <c r="D4" s="259">
        <v>40406597</v>
      </c>
      <c r="E4" s="257" t="s">
        <v>467</v>
      </c>
    </row>
    <row r="5" spans="1:5" x14ac:dyDescent="0.25">
      <c r="A5" s="258"/>
      <c r="B5" s="257">
        <v>6358</v>
      </c>
      <c r="C5" s="257" t="s">
        <v>468</v>
      </c>
      <c r="D5" s="259">
        <v>91718810</v>
      </c>
      <c r="E5" s="257" t="s">
        <v>469</v>
      </c>
    </row>
    <row r="6" spans="1:5" x14ac:dyDescent="0.25">
      <c r="A6" s="257" t="s">
        <v>470</v>
      </c>
      <c r="B6" s="257">
        <v>1295</v>
      </c>
      <c r="C6" s="257" t="s">
        <v>471</v>
      </c>
      <c r="D6" s="259">
        <v>92420499</v>
      </c>
      <c r="E6" s="257" t="s">
        <v>472</v>
      </c>
    </row>
    <row r="7" spans="1:5" x14ac:dyDescent="0.25">
      <c r="D7" s="97"/>
    </row>
  </sheetData>
  <sortState xmlns:xlrd2="http://schemas.microsoft.com/office/spreadsheetml/2017/richdata2" ref="B1:E3">
    <sortCondition ref="E1:E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e5d52f-e82f-432e-9969-843dd53d54b7" xsi:nil="true"/>
    <lcf76f155ced4ddcb4097134ff3c332f xmlns="5acb52ef-1bec-4911-a5fa-1ebcb5d8858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B3EB31FF103D47AE2A84BA5FDA9CAD" ma:contentTypeVersion="11" ma:contentTypeDescription="Opprett et nytt dokument." ma:contentTypeScope="" ma:versionID="b50b15fe83c23c50f17ca2bb54b83b8a">
  <xsd:schema xmlns:xsd="http://www.w3.org/2001/XMLSchema" xmlns:xs="http://www.w3.org/2001/XMLSchema" xmlns:p="http://schemas.microsoft.com/office/2006/metadata/properties" xmlns:ns2="5acb52ef-1bec-4911-a5fa-1ebcb5d88589" xmlns:ns3="92e5d52f-e82f-432e-9969-843dd53d54b7" targetNamespace="http://schemas.microsoft.com/office/2006/metadata/properties" ma:root="true" ma:fieldsID="185738da99386b2607e813e0c8a913e2" ns2:_="" ns3:_="">
    <xsd:import namespace="5acb52ef-1bec-4911-a5fa-1ebcb5d88589"/>
    <xsd:import namespace="92e5d52f-e82f-432e-9969-843dd53d5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b52ef-1bec-4911-a5fa-1ebcb5d88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5c365273-cbf4-4fc9-87da-ed8e7c05df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5d52f-e82f-432e-9969-843dd53d54b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2d1ebc2-ed39-4eb2-ac91-88d7f2028e12}" ma:internalName="TaxCatchAll" ma:showField="CatchAllData" ma:web="92e5d52f-e82f-432e-9969-843dd53d5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0A35E2-E77A-4254-9B44-ED69C0702A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ADC20F-4551-4D16-95BC-438214861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DE7E6C-FF50-44D8-A276-B950D34998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Aktivitetsregnskap</vt:lpstr>
      <vt:lpstr>Noter</vt:lpstr>
      <vt:lpstr>Saldobalanse</vt:lpstr>
      <vt:lpstr>Resultat</vt:lpstr>
      <vt:lpstr>Balanse</vt:lpstr>
      <vt:lpstr>Hovedbok</vt:lpstr>
      <vt:lpstr>Kontaktinformasjon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Kristin Benestad</cp:lastModifiedBy>
  <cp:lastPrinted>2025-01-16T08:59:55Z</cp:lastPrinted>
  <dcterms:created xsi:type="dcterms:W3CDTF">2010-01-28T08:24:41Z</dcterms:created>
  <dcterms:modified xsi:type="dcterms:W3CDTF">2025-02-17T11:25:44Z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0x010100BEB3EB31FF103D47AE2A84BA5FDA9CAD</vt:lpwstr>
  </property>
</Properties>
</file>